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<sst xmlns="http://schemas.openxmlformats.org/spreadsheetml/2006/main" count="328" uniqueCount="323">
  <si>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</si>
  <si>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</si>
  <si>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</si>
  <si>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</si>
  <si>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</si>
  <si>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</si>
  <si>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</si>
  <si>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</si>
  <si>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</si>
  <si>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</si>
  <si>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</si>
  <si>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</si>
  <si>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</si>
  <si>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</si>
  <si>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</si>
  <si>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</si>
  <si>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</si>
  <si>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</si>
  <si>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</si>
  <si>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</si>
  <si>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</si>
  <si>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</si>
  <si>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</si>
  <si>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</si>
  <si>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</si>
  <si>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</si>
  <si>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</si>
  <si>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</si>
  <si>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</si>
  <si>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</si>
  <si>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</si>
  <si>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</si>
  <si>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</si>
  <si>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</si>
  <si>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</si>
  <si>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</si>
  <si>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</si>
  <si>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</si>
  <si>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</si>
  <si>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</si>
  <si>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</si>
  <si>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</si>
  <si>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</si>
  <si>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</si>
  <si>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</si>
  <si>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</si>
  <si>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</si>
  <si>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</si>
  <si>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</si>
  <si>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</si>
  <si>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</si>
  <si>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</si>
  <si>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</si>
  <si>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</si>
  <si>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</si>
  <si>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</si>
  <si>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</si>
  <si>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</si>
  <si>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</si>
  <si>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</si>
  <si>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</si>
  <si>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</si>
  <si>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</si>
  <si>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</si>
  <si>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</si>
  <si>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</si>
  <si>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</si>
  <si>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</si>
  <si>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</si>
  <si>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</si>
  <si>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</si>
  <si>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</si>
  <si>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</si>
  <si>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</si>
  <si>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</si>
  <si>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</si>
  <si>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</si>
  <si>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</si>
  <si>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</si>
  <si>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</si>
  <si>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</si>
  <si>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</si>
  <si>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</si>
  <si>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</si>
  <si>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</si>
  <si>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</si>
  <si>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</si>
  <si>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</si>
  <si>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</si>
  <si>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</si>
  <si>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</si>
  <si>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</si>
  <si>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</si>
  <si>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</si>
  <si>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</si>
  <si>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</si>
  <si>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</si>
  <si>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</si>
  <si>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</si>
  <si>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</si>
  <si>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</si>
  <si>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</si>
  <si>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</si>
  <si>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</si>
  <si>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</si>
  <si>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</si>
  <si>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</si>
  <si>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</si>
  <si>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</si>
  <si>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</si>
  <si>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</si>
  <si>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</si>
  <si>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</si>
  <si>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</si>
  <si>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</si>
  <si>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</si>
  <si>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</si>
  <si>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</si>
  <si>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</si>
  <si>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</si>
  <si>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</si>
  <si>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</si>
  <si>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</si>
  <si>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</si>
  <si>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</si>
  <si>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</si>
  <si>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</si>
  <si>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</si>
  <si>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</si>
  <si>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</si>
  <si>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</si>
  <si>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</si>
  <si>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</si>
  <si>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</si>
  <si>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</si>
  <si>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</si>
  <si>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</si>
  <si>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</si>
  <si>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</si>
  <si>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</si>
  <si>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</si>
  <si>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</si>
  <si>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</si>
  <si>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</si>
  <si>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</si>
  <si>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</si>
  <si>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</si>
  <si>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</si>
  <si>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</si>
  <si>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</si>
  <si>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</si>
  <si>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</si>
  <si>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</si>
  <si>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</si>
  <si>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</si>
  <si>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</si>
  <si>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</si>
  <si>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</si>
  <si>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</si>
  <si>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</si>
  <si>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</si>
  <si>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</si>
  <si>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</si>
  <si>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</si>
  <si>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</si>
  <si>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</si>
  <si>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</si>
  <si>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</si>
  <si>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</si>
  <si>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</si>
  <si>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</si>
  <si>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</si>
  <si>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</si>
  <si>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</si>
  <si>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</si>
  <si>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</si>
  <si>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</si>
  <si>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</si>
  <si>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</si>
  <si>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</si>
  <si>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</si>
  <si>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</si>
  <si>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</si>
  <si>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</si>
  <si>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</si>
  <si>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</si>
  <si>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</si>
  <si>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</si>
  <si>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</si>
  <si>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</si>
  <si>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</si>
  <si>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</si>
  <si>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</si>
  <si>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</si>
  <si>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</si>
  <si>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</si>
  <si>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</si>
  <si>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</si>
  <si>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</si>
  <si>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</si>
  <si>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</si>
  <si>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</si>
  <si>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</si>
  <si>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</si>
  <si>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</si>
  <si>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</si>
  <si>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</si>
  <si>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</si>
  <si>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</si>
  <si>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</si>
  <si>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</si>
  <si>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</si>
  <si>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</si>
  <si>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</si>
  <si>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</si>
  <si>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</si>
  <si>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</si>
  <si>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</si>
  <si>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</si>
  <si>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</si>
  <si>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</si>
  <si>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</si>
  <si>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</si>
  <si>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</si>
  <si>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</si>
  <si>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</si>
  <si>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</si>
  <si>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</si>
  <si>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</si>
  <si>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</si>
  <si>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</si>
  <si>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</si>
  <si>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</si>
  <si>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</si>
  <si>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</si>
  <si>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</si>
  <si>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</si>
  <si>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</si>
  <si>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</si>
  <si>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</si>
  <si>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</si>
  <si>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</si>
  <si>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</si>
  <si>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</si>
  <si>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</si>
  <si>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</si>
  <si>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</si>
  <si>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</si>
  <si>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</si>
  <si>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</si>
  <si>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</si>
  <si>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</si>
  <si>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</si>
  <si>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</si>
  <si>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</si>
  <si>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</si>
  <si>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</si>
  <si>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</si>
  <si>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</si>
  <si>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</si>
  <si>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</si>
  <si>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</si>
  <si>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</si>
  <si>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</si>
  <si>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</si>
  <si>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</si>
  <si>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</si>
  <si>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</si>
  <si>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</si>
  <si>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</si>
  <si>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</si>
  <si>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</si>
  <si>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</si>
  <si>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</si>
  <si>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</si>
  <si>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</si>
  <si>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</si>
  <si>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</si>
  <si>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</si>
  <si>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</si>
  <si>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</si>
  <si>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</si>
  <si>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</si>
  <si>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</si>
  <si>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</si>
  <si>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</si>
  <si>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</si>
  <si>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</si>
  <si>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</si>
  <si>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</si>
  <si>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</si>
  <si>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</si>
  <si>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</si>
  <si>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</si>
  <si>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</si>
  <si>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</si>
  <si>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</si>
  <si>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</si>
  <si>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</si>
  <si>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</si>
  <si>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</si>
  <si>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</si>
  <si>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</si>
  <si>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</si>
  <si>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</si>
  <si>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</si>
  <si>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Приложение № 3</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</si>
  <si>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</si>
  <si>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</si>
  <si>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</si>
  <si>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</si>
  <si>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</si>
  <si>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</si>
  <si>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31 9 00 90690</t>
  </si>
  <si>
    <t>31 9 00 90700</t>
  </si>
  <si>
    <t>31 9 00 90710</t>
  </si>
  <si>
    <t>31 9 00 90720</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</si>
  <si>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</si>
  <si>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</si>
  <si>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</si>
  <si>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</si>
  <si>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</si>
  <si>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от 18.05.2023 № 25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</si>
</sst>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47" fillId="33" borderId="11" xfId="0" applyFont="1" applyFill="1" applyBorder="1" applyAlignment="1">
      <alignment horizontal="justify" vertical="top"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vertical="center"/>
    </xf>
    <xf numFmtId="0" fontId="6" fillId="33" borderId="0" xfId="0" applyFont="1" applyFill="1" applyAlignment="1">
      <alignment horizontal="right"/>
    </xf>
    <xf numFmtId="0" fontId="6" fillId="33" borderId="0" xfId="0" applyFont="1" applyFill="1" applyAlignment="1">
      <alignment horizontal="right" wrapText="1"/>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5"/>
  <sheetViews>
    <sheetView tabSelected="1" zoomScale="90" zoomScaleNormal="90" zoomScalePageLayoutView="0" workbookViewId="0" topLeftCell="A4">
      <selection activeCell="A4" sqref="A1:IV16384"/>
    </sheetView>
  </sheetViews>
  <sheetFormatPr defaultColWidth="9.140625" defaultRowHeight="15"/>
  <cols>
    <col min="1" max="1" width="62.57421875" style="1" customWidth="1"/>
    <col min="2" max="2" width="18.7109375" style="10" customWidth="1"/>
    <col min="3" max="3" width="6.140625" style="33" customWidth="1"/>
    <col min="4" max="4" width="19.8515625" style="1" customWidth="1"/>
    <col min="5" max="5" width="12.7109375" style="1" customWidth="1"/>
    <col min="6" max="16384" width="9.140625" style="1" customWidth="1"/>
  </cols>
  <sheetData>
    <row r="1" spans="1:4" ht="18.75">
      <c r="A1" s="43" t="s">
        <v>306</v>
      </c>
      <c r="B1" s="43"/>
      <c r="C1" s="43"/>
      <c r="D1" s="43"/>
    </row>
    <row r="2" spans="1:4" ht="18.75">
      <c r="A2" s="43" t="s">
        <v>225</v>
      </c>
      <c r="B2" s="43"/>
      <c r="C2" s="43"/>
      <c r="D2" s="43"/>
    </row>
    <row r="3" spans="1:4" ht="18.75">
      <c r="A3" s="43" t="s">
        <v>226</v>
      </c>
      <c r="B3" s="43"/>
      <c r="C3" s="43"/>
      <c r="D3" s="43"/>
    </row>
    <row r="4" spans="1:4" ht="18.75">
      <c r="A4" s="43" t="s">
        <v>227</v>
      </c>
      <c r="B4" s="43"/>
      <c r="C4" s="43"/>
      <c r="D4" s="43"/>
    </row>
    <row r="5" spans="1:4" ht="18.75">
      <c r="A5" s="43" t="s">
        <v>221</v>
      </c>
      <c r="B5" s="43"/>
      <c r="C5" s="43"/>
      <c r="D5" s="43"/>
    </row>
    <row r="6" spans="1:4" ht="78.75" customHeight="1">
      <c r="A6" s="44" t="s">
        <v>228</v>
      </c>
      <c r="B6" s="43"/>
      <c r="C6" s="43"/>
      <c r="D6" s="43"/>
    </row>
    <row r="7" spans="1:4" ht="18.75">
      <c r="A7" s="43" t="s">
        <v>229</v>
      </c>
      <c r="B7" s="43"/>
      <c r="C7" s="43"/>
      <c r="D7" s="43"/>
    </row>
    <row r="8" spans="1:4" ht="18.75">
      <c r="A8" s="43" t="s">
        <v>230</v>
      </c>
      <c r="B8" s="43"/>
      <c r="C8" s="43"/>
      <c r="D8" s="43"/>
    </row>
    <row r="9" spans="1:4" ht="18.75">
      <c r="A9" s="43" t="s">
        <v>322</v>
      </c>
      <c r="B9" s="43"/>
      <c r="C9" s="43"/>
      <c r="D9" s="43"/>
    </row>
    <row r="12" spans="1:4" ht="18.75">
      <c r="A12" s="46" t="s">
        <v>231</v>
      </c>
      <c r="B12" s="46"/>
      <c r="C12" s="46"/>
      <c r="D12" s="46"/>
    </row>
    <row r="13" spans="1:4" ht="18.75">
      <c r="A13" s="46" t="s">
        <v>168</v>
      </c>
      <c r="B13" s="46"/>
      <c r="C13" s="46"/>
      <c r="D13" s="46"/>
    </row>
    <row r="14" spans="1:4" ht="18.75">
      <c r="A14" s="46" t="s">
        <v>169</v>
      </c>
      <c r="B14" s="46"/>
      <c r="C14" s="46"/>
      <c r="D14" s="46"/>
    </row>
    <row r="15" spans="1:4" ht="18.75">
      <c r="A15" s="46" t="s">
        <v>170</v>
      </c>
      <c r="B15" s="46"/>
      <c r="C15" s="46"/>
      <c r="D15" s="46"/>
    </row>
    <row r="16" spans="1:4" ht="18.75">
      <c r="A16" s="46" t="s">
        <v>171</v>
      </c>
      <c r="B16" s="46"/>
      <c r="C16" s="46"/>
      <c r="D16" s="46"/>
    </row>
    <row r="17" spans="1:4" ht="18.75">
      <c r="A17" s="46" t="s">
        <v>221</v>
      </c>
      <c r="B17" s="46"/>
      <c r="C17" s="46"/>
      <c r="D17" s="46"/>
    </row>
    <row r="18" spans="1:4" ht="78" customHeight="1">
      <c r="A18" s="47" t="s">
        <v>199</v>
      </c>
      <c r="B18" s="47"/>
      <c r="C18" s="47"/>
      <c r="D18" s="47"/>
    </row>
    <row r="19" spans="1:4" ht="21" customHeight="1">
      <c r="A19" s="46" t="s">
        <v>224</v>
      </c>
      <c r="B19" s="46"/>
      <c r="C19" s="46"/>
      <c r="D19" s="46"/>
    </row>
    <row r="22" spans="1:4" s="2" customFormat="1" ht="138" customHeight="1">
      <c r="A22" s="48" t="s">
        <v>200</v>
      </c>
      <c r="B22" s="48"/>
      <c r="C22" s="48"/>
      <c r="D22" s="48"/>
    </row>
    <row r="23" spans="1:4" s="4" customFormat="1" ht="14.25" customHeight="1">
      <c r="A23" s="3"/>
      <c r="B23" s="3"/>
      <c r="C23" s="3"/>
      <c r="D23" s="3"/>
    </row>
    <row r="24" spans="1:4" ht="78" customHeight="1">
      <c r="A24" s="5" t="s">
        <v>99</v>
      </c>
      <c r="B24" s="5" t="s">
        <v>100</v>
      </c>
      <c r="C24" s="6" t="s">
        <v>101</v>
      </c>
      <c r="D24" s="7" t="s">
        <v>167</v>
      </c>
    </row>
    <row r="25" spans="1:4" s="10" customFormat="1" ht="18.75">
      <c r="A25" s="8">
        <v>1</v>
      </c>
      <c r="B25" s="8">
        <v>2</v>
      </c>
      <c r="C25" s="8">
        <v>3</v>
      </c>
      <c r="D25" s="9">
        <v>4</v>
      </c>
    </row>
    <row r="26" spans="1:4" s="14" customFormat="1" ht="61.5" customHeight="1">
      <c r="A26" s="11" t="s">
        <v>85</v>
      </c>
      <c r="B26" s="12" t="s">
        <v>0</v>
      </c>
      <c r="C26" s="12"/>
      <c r="D26" s="13">
        <f>D27+D30</f>
        <v>30288473.979999997</v>
      </c>
    </row>
    <row r="27" spans="1:4" s="15" customFormat="1" ht="61.5" customHeight="1">
      <c r="A27" s="11" t="s">
        <v>21</v>
      </c>
      <c r="B27" s="12" t="s">
        <v>1</v>
      </c>
      <c r="C27" s="12"/>
      <c r="D27" s="13">
        <f>D28</f>
        <v>100000</v>
      </c>
    </row>
    <row r="28" spans="1:4" s="19" customFormat="1" ht="56.25">
      <c r="A28" s="16" t="s">
        <v>20</v>
      </c>
      <c r="B28" s="17" t="s">
        <v>19</v>
      </c>
      <c r="C28" s="17"/>
      <c r="D28" s="18">
        <f>D29</f>
        <v>100000</v>
      </c>
    </row>
    <row r="29" spans="1:4" ht="135" customHeight="1">
      <c r="A29" s="20" t="s">
        <v>107</v>
      </c>
      <c r="B29" s="7" t="s">
        <v>65</v>
      </c>
      <c r="C29" s="7">
        <v>600</v>
      </c>
      <c r="D29" s="21">
        <f>100000</f>
        <v>100000</v>
      </c>
    </row>
    <row r="30" spans="1:4" s="15" customFormat="1" ht="62.25" customHeight="1">
      <c r="A30" s="11" t="s">
        <v>84</v>
      </c>
      <c r="B30" s="12" t="s">
        <v>2</v>
      </c>
      <c r="C30" s="12"/>
      <c r="D30" s="13">
        <f>D31</f>
        <v>30188473.979999997</v>
      </c>
    </row>
    <row r="31" spans="1:4" s="19" customFormat="1" ht="80.25" customHeight="1">
      <c r="A31" s="22" t="s">
        <v>24</v>
      </c>
      <c r="B31" s="17" t="s">
        <v>3</v>
      </c>
      <c r="C31" s="17"/>
      <c r="D31" s="18">
        <f>SUM(D32:D40)</f>
        <v>30188473.979999997</v>
      </c>
    </row>
    <row r="32" spans="1:4" ht="96.75" customHeight="1">
      <c r="A32" s="23" t="s">
        <v>108</v>
      </c>
      <c r="B32" s="7" t="s">
        <v>58</v>
      </c>
      <c r="C32" s="7">
        <v>600</v>
      </c>
      <c r="D32" s="21">
        <f>17969159.38+629176.57+58822.04+919756.28</f>
        <v>19576914.27</v>
      </c>
    </row>
    <row r="33" spans="1:4" ht="58.5" customHeight="1">
      <c r="A33" s="20" t="s">
        <v>31</v>
      </c>
      <c r="B33" s="7" t="s">
        <v>57</v>
      </c>
      <c r="C33" s="7">
        <v>600</v>
      </c>
      <c r="D33" s="21">
        <f>33440</f>
        <v>33440</v>
      </c>
    </row>
    <row r="34" spans="1:4" ht="60" customHeight="1">
      <c r="A34" s="20" t="s">
        <v>32</v>
      </c>
      <c r="B34" s="7" t="s">
        <v>66</v>
      </c>
      <c r="C34" s="7">
        <v>600</v>
      </c>
      <c r="D34" s="21">
        <f>5280</f>
        <v>5280</v>
      </c>
    </row>
    <row r="35" spans="1:4" ht="81" customHeight="1">
      <c r="A35" s="20" t="s">
        <v>33</v>
      </c>
      <c r="B35" s="7" t="s">
        <v>67</v>
      </c>
      <c r="C35" s="7">
        <v>600</v>
      </c>
      <c r="D35" s="21">
        <f>200000+618928</f>
        <v>818928</v>
      </c>
    </row>
    <row r="36" spans="1:4" ht="80.25" customHeight="1">
      <c r="A36" s="23" t="s">
        <v>34</v>
      </c>
      <c r="B36" s="7" t="s">
        <v>68</v>
      </c>
      <c r="C36" s="7">
        <v>200</v>
      </c>
      <c r="D36" s="21">
        <f>77000</f>
        <v>77000</v>
      </c>
    </row>
    <row r="37" spans="1:4" ht="99" customHeight="1">
      <c r="A37" s="23" t="s">
        <v>122</v>
      </c>
      <c r="B37" s="7" t="s">
        <v>123</v>
      </c>
      <c r="C37" s="7">
        <v>600</v>
      </c>
      <c r="D37" s="21">
        <f>150000</f>
        <v>150000</v>
      </c>
    </row>
    <row r="38" spans="1:4" ht="136.5" customHeight="1">
      <c r="A38" s="20" t="s">
        <v>211</v>
      </c>
      <c r="B38" s="7" t="s">
        <v>212</v>
      </c>
      <c r="C38" s="7">
        <v>600</v>
      </c>
      <c r="D38" s="24">
        <f>6959284-478339</f>
        <v>6480945</v>
      </c>
    </row>
    <row r="39" spans="1:4" ht="140.25" customHeight="1">
      <c r="A39" s="23" t="s">
        <v>192</v>
      </c>
      <c r="B39" s="7" t="s">
        <v>59</v>
      </c>
      <c r="C39" s="7">
        <v>600</v>
      </c>
      <c r="D39" s="21">
        <f>1121650.92</f>
        <v>1121650.92</v>
      </c>
    </row>
    <row r="40" spans="1:5" ht="97.5" customHeight="1">
      <c r="A40" s="23" t="s">
        <v>213</v>
      </c>
      <c r="B40" s="7" t="s">
        <v>214</v>
      </c>
      <c r="C40" s="7">
        <v>600</v>
      </c>
      <c r="D40" s="24">
        <f>1328100+69900+526315.79</f>
        <v>1924315.79</v>
      </c>
      <c r="E40" s="25"/>
    </row>
    <row r="41" spans="1:4" s="15" customFormat="1" ht="79.5" customHeight="1">
      <c r="A41" s="11" t="s">
        <v>86</v>
      </c>
      <c r="B41" s="12" t="s">
        <v>4</v>
      </c>
      <c r="C41" s="12"/>
      <c r="D41" s="13">
        <f>D42+D55+D78+D91+D95+D98+D107+D111</f>
        <v>79438777.15</v>
      </c>
    </row>
    <row r="42" spans="1:4" s="15" customFormat="1" ht="59.25" customHeight="1">
      <c r="A42" s="11" t="s">
        <v>36</v>
      </c>
      <c r="B42" s="12" t="s">
        <v>5</v>
      </c>
      <c r="C42" s="12"/>
      <c r="D42" s="13">
        <f>D43+D53</f>
        <v>3483865.769999999</v>
      </c>
    </row>
    <row r="43" spans="1:4" s="19" customFormat="1" ht="78.75" customHeight="1">
      <c r="A43" s="22" t="s">
        <v>25</v>
      </c>
      <c r="B43" s="17" t="s">
        <v>6</v>
      </c>
      <c r="C43" s="17"/>
      <c r="D43" s="18">
        <f>SUM(D44:D52)</f>
        <v>3457562.539999999</v>
      </c>
    </row>
    <row r="44" spans="1:4" ht="81" customHeight="1">
      <c r="A44" s="23" t="s">
        <v>37</v>
      </c>
      <c r="B44" s="7" t="s">
        <v>60</v>
      </c>
      <c r="C44" s="7">
        <v>200</v>
      </c>
      <c r="D44" s="21">
        <f>150000+129836.7</f>
        <v>279836.7</v>
      </c>
    </row>
    <row r="45" spans="1:4" ht="117" customHeight="1">
      <c r="A45" s="23" t="s">
        <v>79</v>
      </c>
      <c r="B45" s="7" t="s">
        <v>69</v>
      </c>
      <c r="C45" s="7">
        <v>200</v>
      </c>
      <c r="D45" s="21">
        <f>1000000</f>
        <v>1000000</v>
      </c>
    </row>
    <row r="46" spans="1:4" ht="78.75" customHeight="1">
      <c r="A46" s="23" t="s">
        <v>96</v>
      </c>
      <c r="B46" s="7" t="s">
        <v>97</v>
      </c>
      <c r="C46" s="7">
        <v>200</v>
      </c>
      <c r="D46" s="21">
        <f>107179.2</f>
        <v>107179.2</v>
      </c>
    </row>
    <row r="47" spans="1:4" ht="80.25" customHeight="1">
      <c r="A47" s="23" t="s">
        <v>116</v>
      </c>
      <c r="B47" s="7" t="s">
        <v>117</v>
      </c>
      <c r="C47" s="7">
        <v>200</v>
      </c>
      <c r="D47" s="21">
        <f>353572+243308.48+251933.33-58500+170686</f>
        <v>960999.8099999999</v>
      </c>
    </row>
    <row r="48" spans="1:4" ht="137.25" customHeight="1">
      <c r="A48" s="20" t="s">
        <v>118</v>
      </c>
      <c r="B48" s="7" t="s">
        <v>119</v>
      </c>
      <c r="C48" s="7">
        <v>200</v>
      </c>
      <c r="D48" s="21">
        <f>300000-73510.82-164378.63</f>
        <v>62110.54999999999</v>
      </c>
    </row>
    <row r="49" spans="1:4" ht="186" customHeight="1">
      <c r="A49" s="20" t="s">
        <v>308</v>
      </c>
      <c r="B49" s="7" t="s">
        <v>307</v>
      </c>
      <c r="C49" s="7">
        <v>200</v>
      </c>
      <c r="D49" s="21">
        <f>200378.63</f>
        <v>200378.63</v>
      </c>
    </row>
    <row r="50" spans="1:4" ht="346.5" customHeight="1">
      <c r="A50" s="20" t="s">
        <v>207</v>
      </c>
      <c r="B50" s="7" t="s">
        <v>208</v>
      </c>
      <c r="C50" s="7">
        <v>200</v>
      </c>
      <c r="D50" s="21">
        <f>47207.59</f>
        <v>47207.59</v>
      </c>
    </row>
    <row r="51" spans="1:4" ht="167.25" customHeight="1">
      <c r="A51" s="20" t="s">
        <v>274</v>
      </c>
      <c r="B51" s="7" t="s">
        <v>273</v>
      </c>
      <c r="C51" s="7">
        <v>400</v>
      </c>
      <c r="D51" s="21">
        <f>333933.34</f>
        <v>333933.34</v>
      </c>
    </row>
    <row r="52" spans="1:4" ht="270" customHeight="1">
      <c r="A52" s="20" t="s">
        <v>126</v>
      </c>
      <c r="B52" s="7" t="s">
        <v>127</v>
      </c>
      <c r="C52" s="7">
        <v>800</v>
      </c>
      <c r="D52" s="21">
        <f>465916.72</f>
        <v>465916.72</v>
      </c>
    </row>
    <row r="53" spans="1:4" s="19" customFormat="1" ht="42" customHeight="1">
      <c r="A53" s="22" t="s">
        <v>203</v>
      </c>
      <c r="B53" s="17" t="s">
        <v>206</v>
      </c>
      <c r="C53" s="17"/>
      <c r="D53" s="18">
        <f>D54</f>
        <v>26303.23</v>
      </c>
    </row>
    <row r="54" spans="1:4" ht="119.25" customHeight="1">
      <c r="A54" s="20" t="s">
        <v>204</v>
      </c>
      <c r="B54" s="7" t="s">
        <v>205</v>
      </c>
      <c r="C54" s="7">
        <v>200</v>
      </c>
      <c r="D54" s="21">
        <f>26303.23</f>
        <v>26303.23</v>
      </c>
    </row>
    <row r="55" spans="1:4" s="27" customFormat="1" ht="40.5" customHeight="1">
      <c r="A55" s="11" t="s">
        <v>38</v>
      </c>
      <c r="B55" s="12" t="s">
        <v>7</v>
      </c>
      <c r="C55" s="26"/>
      <c r="D55" s="13">
        <f>D56</f>
        <v>22064942.400000002</v>
      </c>
    </row>
    <row r="56" spans="1:4" s="19" customFormat="1" ht="56.25">
      <c r="A56" s="22" t="s">
        <v>35</v>
      </c>
      <c r="B56" s="17" t="s">
        <v>8</v>
      </c>
      <c r="C56" s="17"/>
      <c r="D56" s="18">
        <f>SUM(D57:D77)</f>
        <v>22064942.400000002</v>
      </c>
    </row>
    <row r="57" spans="1:4" ht="117" customHeight="1">
      <c r="A57" s="23" t="s">
        <v>83</v>
      </c>
      <c r="B57" s="7" t="s">
        <v>61</v>
      </c>
      <c r="C57" s="7">
        <v>200</v>
      </c>
      <c r="D57" s="21">
        <f>2425948.79-190000+280833.33</f>
        <v>2516782.12</v>
      </c>
    </row>
    <row r="58" spans="1:4" ht="97.5" customHeight="1">
      <c r="A58" s="23" t="s">
        <v>161</v>
      </c>
      <c r="B58" s="7" t="s">
        <v>160</v>
      </c>
      <c r="C58" s="7">
        <v>200</v>
      </c>
      <c r="D58" s="21">
        <f>1857770.12+141828.76-452296.2</f>
        <v>1547302.6800000002</v>
      </c>
    </row>
    <row r="59" spans="1:4" ht="96.75" customHeight="1">
      <c r="A59" s="23" t="s">
        <v>109</v>
      </c>
      <c r="B59" s="7" t="s">
        <v>70</v>
      </c>
      <c r="C59" s="7">
        <v>200</v>
      </c>
      <c r="D59" s="21">
        <f>1200000+73793.59-831140</f>
        <v>442653.5900000001</v>
      </c>
    </row>
    <row r="60" spans="1:4" ht="62.25" customHeight="1">
      <c r="A60" s="23" t="s">
        <v>110</v>
      </c>
      <c r="B60" s="7" t="s">
        <v>71</v>
      </c>
      <c r="C60" s="7">
        <v>200</v>
      </c>
      <c r="D60" s="21">
        <f>142242.06+155174+297105.24+132000</f>
        <v>726521.3</v>
      </c>
    </row>
    <row r="61" spans="1:4" ht="62.25" customHeight="1">
      <c r="A61" s="23" t="s">
        <v>201</v>
      </c>
      <c r="B61" s="7" t="s">
        <v>202</v>
      </c>
      <c r="C61" s="7">
        <v>200</v>
      </c>
      <c r="D61" s="21">
        <f>267399.46</f>
        <v>267399.46</v>
      </c>
    </row>
    <row r="62" spans="1:4" ht="81" customHeight="1">
      <c r="A62" s="23" t="s">
        <v>120</v>
      </c>
      <c r="B62" s="7" t="s">
        <v>121</v>
      </c>
      <c r="C62" s="7">
        <v>200</v>
      </c>
      <c r="D62" s="21">
        <f>525000-19440-150945.55</f>
        <v>354614.45</v>
      </c>
    </row>
    <row r="63" spans="1:4" ht="134.25" customHeight="1">
      <c r="A63" s="20" t="s">
        <v>165</v>
      </c>
      <c r="B63" s="7" t="s">
        <v>164</v>
      </c>
      <c r="C63" s="7">
        <v>200</v>
      </c>
      <c r="D63" s="21">
        <f>239800-175000</f>
        <v>64800</v>
      </c>
    </row>
    <row r="64" spans="1:4" ht="79.5" customHeight="1">
      <c r="A64" s="20" t="s">
        <v>136</v>
      </c>
      <c r="B64" s="28" t="s">
        <v>166</v>
      </c>
      <c r="C64" s="7">
        <v>200</v>
      </c>
      <c r="D64" s="21">
        <f>430803+272419.25</f>
        <v>703222.25</v>
      </c>
    </row>
    <row r="65" spans="1:4" ht="158.25" customHeight="1">
      <c r="A65" s="20" t="s">
        <v>234</v>
      </c>
      <c r="B65" s="28" t="s">
        <v>233</v>
      </c>
      <c r="C65" s="7">
        <v>200</v>
      </c>
      <c r="D65" s="21">
        <f>19440</f>
        <v>19440</v>
      </c>
    </row>
    <row r="66" spans="1:4" ht="65.25" customHeight="1">
      <c r="A66" s="20" t="s">
        <v>131</v>
      </c>
      <c r="B66" s="7" t="s">
        <v>139</v>
      </c>
      <c r="C66" s="7">
        <v>200</v>
      </c>
      <c r="D66" s="21">
        <f>200000+309855</f>
        <v>509855</v>
      </c>
    </row>
    <row r="67" spans="1:4" ht="97.5" customHeight="1">
      <c r="A67" s="20" t="s">
        <v>177</v>
      </c>
      <c r="B67" s="7" t="s">
        <v>176</v>
      </c>
      <c r="C67" s="7">
        <v>200</v>
      </c>
      <c r="D67" s="21">
        <f>3511660+75000</f>
        <v>3586660</v>
      </c>
    </row>
    <row r="68" spans="1:4" ht="97.5" customHeight="1">
      <c r="A68" s="20" t="s">
        <v>180</v>
      </c>
      <c r="B68" s="7" t="s">
        <v>181</v>
      </c>
      <c r="C68" s="7">
        <v>200</v>
      </c>
      <c r="D68" s="21">
        <f>2200000</f>
        <v>2200000</v>
      </c>
    </row>
    <row r="69" spans="1:4" ht="153.75" customHeight="1">
      <c r="A69" s="20" t="s">
        <v>191</v>
      </c>
      <c r="B69" s="7" t="s">
        <v>182</v>
      </c>
      <c r="C69" s="7">
        <v>200</v>
      </c>
      <c r="D69" s="21">
        <f>650000+139280</f>
        <v>789280</v>
      </c>
    </row>
    <row r="70" spans="1:4" ht="97.5" customHeight="1">
      <c r="A70" s="20" t="s">
        <v>183</v>
      </c>
      <c r="B70" s="7" t="s">
        <v>184</v>
      </c>
      <c r="C70" s="7">
        <v>200</v>
      </c>
      <c r="D70" s="21">
        <f>4300000+1480596.03+447015.38</f>
        <v>6227611.41</v>
      </c>
    </row>
    <row r="71" spans="1:4" ht="117" customHeight="1">
      <c r="A71" s="20" t="s">
        <v>188</v>
      </c>
      <c r="B71" s="7" t="s">
        <v>187</v>
      </c>
      <c r="C71" s="7">
        <v>200</v>
      </c>
      <c r="D71" s="21">
        <f>218000</f>
        <v>218000</v>
      </c>
    </row>
    <row r="72" spans="1:4" ht="97.5" customHeight="1">
      <c r="A72" s="20" t="s">
        <v>190</v>
      </c>
      <c r="B72" s="7" t="s">
        <v>189</v>
      </c>
      <c r="C72" s="7">
        <v>200</v>
      </c>
      <c r="D72" s="21">
        <f>86000</f>
        <v>86000</v>
      </c>
    </row>
    <row r="73" spans="1:4" ht="97.5" customHeight="1">
      <c r="A73" s="20" t="s">
        <v>219</v>
      </c>
      <c r="B73" s="7" t="s">
        <v>220</v>
      </c>
      <c r="C73" s="7">
        <v>200</v>
      </c>
      <c r="D73" s="21">
        <f>190000+148093.47</f>
        <v>338093.47</v>
      </c>
    </row>
    <row r="74" spans="1:4" ht="96.75" customHeight="1">
      <c r="A74" s="20" t="s">
        <v>276</v>
      </c>
      <c r="B74" s="7" t="s">
        <v>275</v>
      </c>
      <c r="C74" s="7">
        <v>200</v>
      </c>
      <c r="D74" s="21">
        <f>410566.67</f>
        <v>410566.67</v>
      </c>
    </row>
    <row r="75" spans="1:4" ht="81" customHeight="1">
      <c r="A75" s="20" t="s">
        <v>236</v>
      </c>
      <c r="B75" s="7" t="s">
        <v>235</v>
      </c>
      <c r="C75" s="7">
        <v>400</v>
      </c>
      <c r="D75" s="21">
        <f>831140</f>
        <v>831140</v>
      </c>
    </row>
    <row r="76" spans="1:4" ht="138.75" customHeight="1">
      <c r="A76" s="20" t="s">
        <v>278</v>
      </c>
      <c r="B76" s="7" t="s">
        <v>277</v>
      </c>
      <c r="C76" s="7">
        <v>400</v>
      </c>
      <c r="D76" s="21">
        <f>175000</f>
        <v>175000</v>
      </c>
    </row>
    <row r="77" spans="1:4" ht="147" customHeight="1">
      <c r="A77" s="20" t="s">
        <v>295</v>
      </c>
      <c r="B77" s="7" t="s">
        <v>294</v>
      </c>
      <c r="C77" s="7">
        <v>400</v>
      </c>
      <c r="D77" s="21">
        <f>50000</f>
        <v>50000</v>
      </c>
    </row>
    <row r="78" spans="1:4" s="15" customFormat="1" ht="58.5" customHeight="1">
      <c r="A78" s="11" t="s">
        <v>80</v>
      </c>
      <c r="B78" s="12" t="s">
        <v>9</v>
      </c>
      <c r="C78" s="12"/>
      <c r="D78" s="13">
        <f>D79+D89</f>
        <v>45108728.230000004</v>
      </c>
    </row>
    <row r="79" spans="1:4" s="27" customFormat="1" ht="56.25">
      <c r="A79" s="22" t="s">
        <v>26</v>
      </c>
      <c r="B79" s="17" t="s">
        <v>10</v>
      </c>
      <c r="C79" s="17"/>
      <c r="D79" s="18">
        <f>SUM(D80:D88)</f>
        <v>41214505.95</v>
      </c>
    </row>
    <row r="80" spans="1:4" s="27" customFormat="1" ht="135.75" customHeight="1">
      <c r="A80" s="20" t="s">
        <v>150</v>
      </c>
      <c r="B80" s="7" t="s">
        <v>151</v>
      </c>
      <c r="C80" s="7">
        <v>200</v>
      </c>
      <c r="D80" s="21">
        <f>4986812.57+3883687.92-830805.44-69900-5000000-2167899.1-75000+4999677.01+83500</f>
        <v>5810072.960000001</v>
      </c>
    </row>
    <row r="81" spans="1:4" s="27" customFormat="1" ht="134.25" customHeight="1">
      <c r="A81" s="20" t="s">
        <v>163</v>
      </c>
      <c r="B81" s="7" t="s">
        <v>162</v>
      </c>
      <c r="C81" s="7">
        <v>200</v>
      </c>
      <c r="D81" s="21">
        <f>628000+309166.58</f>
        <v>937166.5800000001</v>
      </c>
    </row>
    <row r="82" spans="1:4" s="27" customFormat="1" ht="99" customHeight="1">
      <c r="A82" s="20" t="s">
        <v>152</v>
      </c>
      <c r="B82" s="7" t="s">
        <v>153</v>
      </c>
      <c r="C82" s="7">
        <v>200</v>
      </c>
      <c r="D82" s="21">
        <f>80000+166900</f>
        <v>246900</v>
      </c>
    </row>
    <row r="83" spans="1:4" ht="289.5" customHeight="1">
      <c r="A83" s="20" t="s">
        <v>140</v>
      </c>
      <c r="B83" s="7" t="s">
        <v>141</v>
      </c>
      <c r="C83" s="7">
        <v>200</v>
      </c>
      <c r="D83" s="21">
        <f>8807573.09+1987500</f>
        <v>10795073.09</v>
      </c>
    </row>
    <row r="84" spans="1:4" ht="120.75" customHeight="1">
      <c r="A84" s="20" t="s">
        <v>240</v>
      </c>
      <c r="B84" s="7" t="s">
        <v>237</v>
      </c>
      <c r="C84" s="7">
        <v>400</v>
      </c>
      <c r="D84" s="21">
        <f>4038984.96-403898.6</f>
        <v>3635086.36</v>
      </c>
    </row>
    <row r="85" spans="1:4" ht="99" customHeight="1">
      <c r="A85" s="20" t="s">
        <v>248</v>
      </c>
      <c r="B85" s="7" t="s">
        <v>247</v>
      </c>
      <c r="C85" s="7">
        <v>200</v>
      </c>
      <c r="D85" s="21">
        <f>68666</f>
        <v>68666</v>
      </c>
    </row>
    <row r="86" spans="1:4" ht="99" customHeight="1">
      <c r="A86" s="20" t="s">
        <v>310</v>
      </c>
      <c r="B86" s="7" t="s">
        <v>309</v>
      </c>
      <c r="C86" s="7">
        <v>200</v>
      </c>
      <c r="D86" s="21">
        <f>38136.2</f>
        <v>38136.2</v>
      </c>
    </row>
    <row r="87" spans="1:4" ht="124.5" customHeight="1">
      <c r="A87" s="20" t="s">
        <v>239</v>
      </c>
      <c r="B87" s="7" t="s">
        <v>238</v>
      </c>
      <c r="C87" s="7">
        <v>400</v>
      </c>
      <c r="D87" s="21">
        <f>3019840+47133</f>
        <v>3066973</v>
      </c>
    </row>
    <row r="88" spans="1:5" ht="158.25" customHeight="1">
      <c r="A88" s="20" t="s">
        <v>209</v>
      </c>
      <c r="B88" s="7" t="s">
        <v>210</v>
      </c>
      <c r="C88" s="7">
        <v>200</v>
      </c>
      <c r="D88" s="24">
        <f>15785303.33+830805.44+5000000-4999677.01</f>
        <v>16616431.76</v>
      </c>
      <c r="E88" s="25"/>
    </row>
    <row r="89" spans="1:4" s="19" customFormat="1" ht="42.75" customHeight="1">
      <c r="A89" s="22" t="s">
        <v>193</v>
      </c>
      <c r="B89" s="17" t="s">
        <v>106</v>
      </c>
      <c r="C89" s="17"/>
      <c r="D89" s="18">
        <f>SUM(D90)</f>
        <v>3894222.2800000003</v>
      </c>
    </row>
    <row r="90" spans="1:4" ht="116.25" customHeight="1">
      <c r="A90" s="23" t="s">
        <v>194</v>
      </c>
      <c r="B90" s="7" t="s">
        <v>195</v>
      </c>
      <c r="C90" s="7">
        <v>200</v>
      </c>
      <c r="D90" s="21">
        <f>3514208.08+380014.2</f>
        <v>3894222.2800000003</v>
      </c>
    </row>
    <row r="91" spans="1:4" s="15" customFormat="1" ht="60.75" customHeight="1">
      <c r="A91" s="11" t="s">
        <v>81</v>
      </c>
      <c r="B91" s="12" t="s">
        <v>22</v>
      </c>
      <c r="C91" s="12"/>
      <c r="D91" s="13">
        <f>D92</f>
        <v>1054094</v>
      </c>
    </row>
    <row r="92" spans="1:4" s="19" customFormat="1" ht="39.75" customHeight="1">
      <c r="A92" s="22" t="s">
        <v>28</v>
      </c>
      <c r="B92" s="17" t="s">
        <v>23</v>
      </c>
      <c r="C92" s="17"/>
      <c r="D92" s="18">
        <f>SUM(D93:D94)</f>
        <v>1054094</v>
      </c>
    </row>
    <row r="93" spans="1:4" ht="78" customHeight="1">
      <c r="A93" s="23" t="s">
        <v>39</v>
      </c>
      <c r="B93" s="7" t="s">
        <v>72</v>
      </c>
      <c r="C93" s="7">
        <v>200</v>
      </c>
      <c r="D93" s="21">
        <f>389044</f>
        <v>389044</v>
      </c>
    </row>
    <row r="94" spans="1:4" ht="77.25" customHeight="1">
      <c r="A94" s="23" t="s">
        <v>138</v>
      </c>
      <c r="B94" s="7" t="s">
        <v>137</v>
      </c>
      <c r="C94" s="7">
        <v>200</v>
      </c>
      <c r="D94" s="21">
        <f>800000-134950</f>
        <v>665050</v>
      </c>
    </row>
    <row r="95" spans="1:4" s="15" customFormat="1" ht="117.75" customHeight="1">
      <c r="A95" s="11" t="s">
        <v>112</v>
      </c>
      <c r="B95" s="12" t="s">
        <v>40</v>
      </c>
      <c r="C95" s="12"/>
      <c r="D95" s="13">
        <f>D96</f>
        <v>2400000</v>
      </c>
    </row>
    <row r="96" spans="1:4" s="19" customFormat="1" ht="60.75" customHeight="1">
      <c r="A96" s="22" t="s">
        <v>42</v>
      </c>
      <c r="B96" s="17" t="s">
        <v>41</v>
      </c>
      <c r="C96" s="17"/>
      <c r="D96" s="18">
        <f>D97</f>
        <v>2400000</v>
      </c>
    </row>
    <row r="97" spans="1:4" ht="116.25" customHeight="1">
      <c r="A97" s="20" t="s">
        <v>111</v>
      </c>
      <c r="B97" s="7" t="s">
        <v>64</v>
      </c>
      <c r="C97" s="7">
        <v>800</v>
      </c>
      <c r="D97" s="21">
        <f>2400000</f>
        <v>2400000</v>
      </c>
    </row>
    <row r="98" spans="1:4" s="27" customFormat="1" ht="60" customHeight="1">
      <c r="A98" s="11" t="s">
        <v>45</v>
      </c>
      <c r="B98" s="12" t="s">
        <v>46</v>
      </c>
      <c r="C98" s="12"/>
      <c r="D98" s="13">
        <f>D99+D103+D105</f>
        <v>384000</v>
      </c>
    </row>
    <row r="99" spans="1:4" s="27" customFormat="1" ht="42" customHeight="1">
      <c r="A99" s="22" t="s">
        <v>47</v>
      </c>
      <c r="B99" s="17" t="s">
        <v>43</v>
      </c>
      <c r="C99" s="17"/>
      <c r="D99" s="18">
        <f>SUM(D100:D102)</f>
        <v>194000</v>
      </c>
    </row>
    <row r="100" spans="1:4" ht="98.25" customHeight="1">
      <c r="A100" s="23" t="s">
        <v>48</v>
      </c>
      <c r="B100" s="7" t="s">
        <v>73</v>
      </c>
      <c r="C100" s="7">
        <v>200</v>
      </c>
      <c r="D100" s="21">
        <f>9000</f>
        <v>9000</v>
      </c>
    </row>
    <row r="101" spans="1:4" ht="80.25" customHeight="1">
      <c r="A101" s="23" t="s">
        <v>178</v>
      </c>
      <c r="B101" s="7" t="s">
        <v>174</v>
      </c>
      <c r="C101" s="7">
        <v>200</v>
      </c>
      <c r="D101" s="21">
        <f>25000</f>
        <v>25000</v>
      </c>
    </row>
    <row r="102" spans="1:4" ht="138" customHeight="1">
      <c r="A102" s="23" t="s">
        <v>179</v>
      </c>
      <c r="B102" s="7" t="s">
        <v>175</v>
      </c>
      <c r="C102" s="7">
        <v>200</v>
      </c>
      <c r="D102" s="21">
        <f>90000+70000</f>
        <v>160000</v>
      </c>
    </row>
    <row r="103" spans="1:4" s="19" customFormat="1" ht="43.5" customHeight="1">
      <c r="A103" s="22" t="s">
        <v>27</v>
      </c>
      <c r="B103" s="17" t="s">
        <v>53</v>
      </c>
      <c r="C103" s="17"/>
      <c r="D103" s="18">
        <f>D104</f>
        <v>110000</v>
      </c>
    </row>
    <row r="104" spans="1:4" ht="96.75" customHeight="1">
      <c r="A104" s="23" t="s">
        <v>44</v>
      </c>
      <c r="B104" s="7" t="s">
        <v>74</v>
      </c>
      <c r="C104" s="7">
        <v>200</v>
      </c>
      <c r="D104" s="21">
        <f>60000+50000</f>
        <v>110000</v>
      </c>
    </row>
    <row r="105" spans="1:4" s="19" customFormat="1" ht="79.5" customHeight="1">
      <c r="A105" s="22" t="s">
        <v>130</v>
      </c>
      <c r="B105" s="17" t="s">
        <v>98</v>
      </c>
      <c r="C105" s="17"/>
      <c r="D105" s="18">
        <f>SUM(D106:D106)</f>
        <v>80000</v>
      </c>
    </row>
    <row r="106" spans="1:4" ht="78" customHeight="1">
      <c r="A106" s="23" t="s">
        <v>135</v>
      </c>
      <c r="B106" s="7" t="s">
        <v>134</v>
      </c>
      <c r="C106" s="7">
        <v>200</v>
      </c>
      <c r="D106" s="21">
        <f>100000-20000</f>
        <v>80000</v>
      </c>
    </row>
    <row r="107" spans="1:4" s="27" customFormat="1" ht="117.75" customHeight="1">
      <c r="A107" s="11" t="s">
        <v>89</v>
      </c>
      <c r="B107" s="12" t="s">
        <v>90</v>
      </c>
      <c r="C107" s="12"/>
      <c r="D107" s="13">
        <f>D108</f>
        <v>4603146.75</v>
      </c>
    </row>
    <row r="108" spans="1:4" s="19" customFormat="1" ht="77.25" customHeight="1">
      <c r="A108" s="22" t="s">
        <v>91</v>
      </c>
      <c r="B108" s="17" t="s">
        <v>92</v>
      </c>
      <c r="C108" s="17"/>
      <c r="D108" s="18">
        <f>SUM(D109:D110)</f>
        <v>4603146.75</v>
      </c>
    </row>
    <row r="109" spans="1:4" ht="138.75" customHeight="1">
      <c r="A109" s="20" t="s">
        <v>93</v>
      </c>
      <c r="B109" s="7" t="s">
        <v>94</v>
      </c>
      <c r="C109" s="7">
        <v>100</v>
      </c>
      <c r="D109" s="21">
        <f>4011304.2+271090.08+97424.47</f>
        <v>4379818.75</v>
      </c>
    </row>
    <row r="110" spans="1:4" ht="100.5" customHeight="1">
      <c r="A110" s="23" t="s">
        <v>95</v>
      </c>
      <c r="B110" s="7" t="s">
        <v>94</v>
      </c>
      <c r="C110" s="7">
        <v>200</v>
      </c>
      <c r="D110" s="21">
        <f>125278+64600+33450</f>
        <v>223328</v>
      </c>
    </row>
    <row r="111" spans="1:4" s="15" customFormat="1" ht="59.25" customHeight="1">
      <c r="A111" s="11" t="s">
        <v>144</v>
      </c>
      <c r="B111" s="12" t="s">
        <v>145</v>
      </c>
      <c r="C111" s="12"/>
      <c r="D111" s="13">
        <f>D112</f>
        <v>340000</v>
      </c>
    </row>
    <row r="112" spans="1:4" s="19" customFormat="1" ht="59.25" customHeight="1">
      <c r="A112" s="22" t="s">
        <v>146</v>
      </c>
      <c r="B112" s="17" t="s">
        <v>147</v>
      </c>
      <c r="C112" s="17"/>
      <c r="D112" s="18">
        <f>D113</f>
        <v>340000</v>
      </c>
    </row>
    <row r="113" spans="1:4" ht="117.75" customHeight="1">
      <c r="A113" s="23" t="s">
        <v>157</v>
      </c>
      <c r="B113" s="7" t="s">
        <v>154</v>
      </c>
      <c r="C113" s="7">
        <v>800</v>
      </c>
      <c r="D113" s="21">
        <f>340000</f>
        <v>340000</v>
      </c>
    </row>
    <row r="114" spans="1:4" s="15" customFormat="1" ht="41.25" customHeight="1">
      <c r="A114" s="11" t="s">
        <v>87</v>
      </c>
      <c r="B114" s="12" t="s">
        <v>11</v>
      </c>
      <c r="C114" s="12"/>
      <c r="D114" s="13">
        <f>D115+D119</f>
        <v>1146000</v>
      </c>
    </row>
    <row r="115" spans="1:4" s="15" customFormat="1" ht="95.25" customHeight="1">
      <c r="A115" s="11" t="s">
        <v>88</v>
      </c>
      <c r="B115" s="12" t="s">
        <v>12</v>
      </c>
      <c r="C115" s="12"/>
      <c r="D115" s="13">
        <f>D116</f>
        <v>201500</v>
      </c>
    </row>
    <row r="116" spans="1:4" s="27" customFormat="1" ht="56.25">
      <c r="A116" s="22" t="s">
        <v>54</v>
      </c>
      <c r="B116" s="17" t="s">
        <v>13</v>
      </c>
      <c r="C116" s="17"/>
      <c r="D116" s="18">
        <f>SUM(D117:D118)</f>
        <v>201500</v>
      </c>
    </row>
    <row r="117" spans="1:4" s="27" customFormat="1" ht="99" customHeight="1">
      <c r="A117" s="23" t="s">
        <v>49</v>
      </c>
      <c r="B117" s="7" t="s">
        <v>75</v>
      </c>
      <c r="C117" s="7">
        <v>200</v>
      </c>
      <c r="D117" s="21">
        <f>1500</f>
        <v>1500</v>
      </c>
    </row>
    <row r="118" spans="1:4" s="15" customFormat="1" ht="117.75" customHeight="1">
      <c r="A118" s="23" t="s">
        <v>129</v>
      </c>
      <c r="B118" s="7" t="s">
        <v>128</v>
      </c>
      <c r="C118" s="7">
        <v>200</v>
      </c>
      <c r="D118" s="21">
        <f>200000</f>
        <v>200000</v>
      </c>
    </row>
    <row r="119" spans="1:4" s="15" customFormat="1" ht="82.5" customHeight="1">
      <c r="A119" s="11" t="s">
        <v>50</v>
      </c>
      <c r="B119" s="12" t="s">
        <v>14</v>
      </c>
      <c r="C119" s="12"/>
      <c r="D119" s="13">
        <f>D120</f>
        <v>944500</v>
      </c>
    </row>
    <row r="120" spans="1:4" s="27" customFormat="1" ht="59.25" customHeight="1">
      <c r="A120" s="22" t="s">
        <v>55</v>
      </c>
      <c r="B120" s="17" t="s">
        <v>15</v>
      </c>
      <c r="C120" s="17"/>
      <c r="D120" s="18">
        <f>SUM(D121:D123)</f>
        <v>944500</v>
      </c>
    </row>
    <row r="121" spans="1:4" ht="99.75" customHeight="1">
      <c r="A121" s="23" t="s">
        <v>51</v>
      </c>
      <c r="B121" s="7" t="s">
        <v>76</v>
      </c>
      <c r="C121" s="7">
        <v>200</v>
      </c>
      <c r="D121" s="21">
        <f>261500+300000</f>
        <v>561500</v>
      </c>
    </row>
    <row r="122" spans="1:4" ht="135.75" customHeight="1">
      <c r="A122" s="23" t="s">
        <v>56</v>
      </c>
      <c r="B122" s="7" t="s">
        <v>77</v>
      </c>
      <c r="C122" s="7">
        <v>200</v>
      </c>
      <c r="D122" s="21">
        <f>12000+6000+65000</f>
        <v>83000</v>
      </c>
    </row>
    <row r="123" spans="1:4" ht="61.5" customHeight="1">
      <c r="A123" s="23" t="s">
        <v>52</v>
      </c>
      <c r="B123" s="7" t="s">
        <v>78</v>
      </c>
      <c r="C123" s="7">
        <v>800</v>
      </c>
      <c r="D123" s="21">
        <f>300000</f>
        <v>300000</v>
      </c>
    </row>
    <row r="124" spans="1:4" s="15" customFormat="1" ht="81" customHeight="1">
      <c r="A124" s="11" t="s">
        <v>142</v>
      </c>
      <c r="B124" s="12" t="s">
        <v>143</v>
      </c>
      <c r="C124" s="12"/>
      <c r="D124" s="13">
        <f>D125</f>
        <v>7732634.57</v>
      </c>
    </row>
    <row r="125" spans="1:4" s="15" customFormat="1" ht="41.25" customHeight="1">
      <c r="A125" s="11" t="s">
        <v>148</v>
      </c>
      <c r="B125" s="12" t="s">
        <v>149</v>
      </c>
      <c r="C125" s="12"/>
      <c r="D125" s="13">
        <f>D126+D135</f>
        <v>7732634.57</v>
      </c>
    </row>
    <row r="126" spans="1:4" s="15" customFormat="1" ht="41.25" customHeight="1">
      <c r="A126" s="22" t="s">
        <v>155</v>
      </c>
      <c r="B126" s="17" t="s">
        <v>156</v>
      </c>
      <c r="C126" s="26"/>
      <c r="D126" s="18">
        <f>SUM(D127:D134)</f>
        <v>421369.29</v>
      </c>
    </row>
    <row r="127" spans="1:4" s="15" customFormat="1" ht="155.25" customHeight="1">
      <c r="A127" s="23" t="s">
        <v>159</v>
      </c>
      <c r="B127" s="7" t="s">
        <v>158</v>
      </c>
      <c r="C127" s="7">
        <v>200</v>
      </c>
      <c r="D127" s="21">
        <f>218840-1063.26</f>
        <v>217776.74</v>
      </c>
    </row>
    <row r="128" spans="1:4" s="15" customFormat="1" ht="141" customHeight="1">
      <c r="A128" s="23" t="s">
        <v>312</v>
      </c>
      <c r="B128" s="7" t="s">
        <v>311</v>
      </c>
      <c r="C128" s="7">
        <v>200</v>
      </c>
      <c r="D128" s="21">
        <f>59380</f>
        <v>59380</v>
      </c>
    </row>
    <row r="129" spans="1:4" s="15" customFormat="1" ht="121.5" customHeight="1">
      <c r="A129" s="23" t="s">
        <v>254</v>
      </c>
      <c r="B129" s="7" t="s">
        <v>249</v>
      </c>
      <c r="C129" s="7">
        <v>200</v>
      </c>
      <c r="D129" s="21">
        <f>21000</f>
        <v>21000</v>
      </c>
    </row>
    <row r="130" spans="1:4" s="15" customFormat="1" ht="119.25" customHeight="1">
      <c r="A130" s="23" t="s">
        <v>255</v>
      </c>
      <c r="B130" s="7" t="s">
        <v>250</v>
      </c>
      <c r="C130" s="7">
        <v>200</v>
      </c>
      <c r="D130" s="21">
        <f>21000</f>
        <v>21000</v>
      </c>
    </row>
    <row r="131" spans="1:4" s="15" customFormat="1" ht="97.5" customHeight="1">
      <c r="A131" s="23" t="s">
        <v>256</v>
      </c>
      <c r="B131" s="7" t="s">
        <v>251</v>
      </c>
      <c r="C131" s="7">
        <v>200</v>
      </c>
      <c r="D131" s="21">
        <f>21000</f>
        <v>21000</v>
      </c>
    </row>
    <row r="132" spans="1:4" s="15" customFormat="1" ht="115.5" customHeight="1">
      <c r="A132" s="23" t="s">
        <v>257</v>
      </c>
      <c r="B132" s="7" t="s">
        <v>252</v>
      </c>
      <c r="C132" s="7">
        <v>200</v>
      </c>
      <c r="D132" s="21">
        <f>21000</f>
        <v>21000</v>
      </c>
    </row>
    <row r="133" spans="1:4" s="15" customFormat="1" ht="116.25" customHeight="1">
      <c r="A133" s="23" t="s">
        <v>258</v>
      </c>
      <c r="B133" s="7" t="s">
        <v>253</v>
      </c>
      <c r="C133" s="7">
        <v>200</v>
      </c>
      <c r="D133" s="21">
        <f>21000</f>
        <v>21000</v>
      </c>
    </row>
    <row r="134" spans="1:4" s="15" customFormat="1" ht="159" customHeight="1">
      <c r="A134" s="23" t="s">
        <v>280</v>
      </c>
      <c r="B134" s="7" t="s">
        <v>279</v>
      </c>
      <c r="C134" s="7">
        <v>200</v>
      </c>
      <c r="D134" s="21">
        <f>39212.55</f>
        <v>39212.55</v>
      </c>
    </row>
    <row r="135" spans="1:4" s="27" customFormat="1" ht="39.75" customHeight="1">
      <c r="A135" s="22" t="s">
        <v>215</v>
      </c>
      <c r="B135" s="17" t="s">
        <v>216</v>
      </c>
      <c r="C135" s="17"/>
      <c r="D135" s="18">
        <f>SUM(D136:D141)</f>
        <v>7311265.28</v>
      </c>
    </row>
    <row r="136" spans="1:4" s="15" customFormat="1" ht="79.5" customHeight="1">
      <c r="A136" s="23" t="s">
        <v>217</v>
      </c>
      <c r="B136" s="7" t="s">
        <v>218</v>
      </c>
      <c r="C136" s="7">
        <v>200</v>
      </c>
      <c r="D136" s="21">
        <f>2020202.02+1063.26</f>
        <v>2021265.28</v>
      </c>
    </row>
    <row r="137" spans="1:4" s="15" customFormat="1" ht="160.5" customHeight="1">
      <c r="A137" s="23" t="s">
        <v>264</v>
      </c>
      <c r="B137" s="7" t="s">
        <v>259</v>
      </c>
      <c r="C137" s="7">
        <v>200</v>
      </c>
      <c r="D137" s="21">
        <f>1058000</f>
        <v>1058000</v>
      </c>
    </row>
    <row r="138" spans="1:4" s="15" customFormat="1" ht="156.75" customHeight="1">
      <c r="A138" s="23" t="s">
        <v>265</v>
      </c>
      <c r="B138" s="7" t="s">
        <v>260</v>
      </c>
      <c r="C138" s="7">
        <v>200</v>
      </c>
      <c r="D138" s="21">
        <f>1058000</f>
        <v>1058000</v>
      </c>
    </row>
    <row r="139" spans="1:4" s="15" customFormat="1" ht="137.25" customHeight="1">
      <c r="A139" s="23" t="s">
        <v>266</v>
      </c>
      <c r="B139" s="7" t="s">
        <v>261</v>
      </c>
      <c r="C139" s="7">
        <v>200</v>
      </c>
      <c r="D139" s="21">
        <f>1058000</f>
        <v>1058000</v>
      </c>
    </row>
    <row r="140" spans="1:4" s="15" customFormat="1" ht="145.5" customHeight="1">
      <c r="A140" s="23" t="s">
        <v>267</v>
      </c>
      <c r="B140" s="7" t="s">
        <v>262</v>
      </c>
      <c r="C140" s="7">
        <v>200</v>
      </c>
      <c r="D140" s="21">
        <f>1058000</f>
        <v>1058000</v>
      </c>
    </row>
    <row r="141" spans="1:4" s="15" customFormat="1" ht="161.25" customHeight="1">
      <c r="A141" s="23" t="s">
        <v>268</v>
      </c>
      <c r="B141" s="7" t="s">
        <v>263</v>
      </c>
      <c r="C141" s="7">
        <v>200</v>
      </c>
      <c r="D141" s="21">
        <f>1058000</f>
        <v>1058000</v>
      </c>
    </row>
    <row r="142" spans="1:4" s="14" customFormat="1" ht="39.75" customHeight="1">
      <c r="A142" s="29" t="s">
        <v>104</v>
      </c>
      <c r="B142" s="12" t="s">
        <v>105</v>
      </c>
      <c r="C142" s="12"/>
      <c r="D142" s="13">
        <f>D143</f>
        <v>3267585.81</v>
      </c>
    </row>
    <row r="143" spans="1:4" s="15" customFormat="1" ht="58.5" customHeight="1">
      <c r="A143" s="11" t="s">
        <v>29</v>
      </c>
      <c r="B143" s="12" t="s">
        <v>16</v>
      </c>
      <c r="C143" s="12"/>
      <c r="D143" s="13">
        <f>SUM(D144:D148)</f>
        <v>3267585.81</v>
      </c>
    </row>
    <row r="144" spans="1:4" ht="138.75" customHeight="1">
      <c r="A144" s="23" t="s">
        <v>283</v>
      </c>
      <c r="B144" s="7" t="s">
        <v>17</v>
      </c>
      <c r="C144" s="7">
        <v>100</v>
      </c>
      <c r="D144" s="21">
        <f>1021096.46+23229.95+63425.77</f>
        <v>1107752.18</v>
      </c>
    </row>
    <row r="145" spans="1:4" ht="137.25" customHeight="1">
      <c r="A145" s="23" t="s">
        <v>222</v>
      </c>
      <c r="B145" s="7" t="s">
        <v>62</v>
      </c>
      <c r="C145" s="7">
        <v>100</v>
      </c>
      <c r="D145" s="21">
        <f>1544660.77+7522.98+32425.6+33139.49</f>
        <v>1617748.84</v>
      </c>
    </row>
    <row r="146" spans="1:4" ht="100.5" customHeight="1">
      <c r="A146" s="23" t="s">
        <v>223</v>
      </c>
      <c r="B146" s="7" t="s">
        <v>62</v>
      </c>
      <c r="C146" s="7">
        <v>200</v>
      </c>
      <c r="D146" s="21">
        <f>239674.96+24249.79</f>
        <v>263924.75</v>
      </c>
    </row>
    <row r="147" spans="1:4" ht="82.5" customHeight="1">
      <c r="A147" s="23" t="s">
        <v>197</v>
      </c>
      <c r="B147" s="7" t="s">
        <v>196</v>
      </c>
      <c r="C147" s="7">
        <v>200</v>
      </c>
      <c r="D147" s="21">
        <f>241191.04</f>
        <v>241191.04</v>
      </c>
    </row>
    <row r="148" spans="1:4" ht="59.25" customHeight="1">
      <c r="A148" s="23" t="s">
        <v>124</v>
      </c>
      <c r="B148" s="7" t="s">
        <v>125</v>
      </c>
      <c r="C148" s="7">
        <v>800</v>
      </c>
      <c r="D148" s="21">
        <f>31840+5129</f>
        <v>36969</v>
      </c>
    </row>
    <row r="149" spans="1:4" s="14" customFormat="1" ht="58.5" customHeight="1">
      <c r="A149" s="11" t="s">
        <v>102</v>
      </c>
      <c r="B149" s="12" t="s">
        <v>103</v>
      </c>
      <c r="C149" s="12"/>
      <c r="D149" s="13">
        <f>D150</f>
        <v>1334561.01</v>
      </c>
    </row>
    <row r="150" spans="1:4" s="27" customFormat="1" ht="80.25" customHeight="1">
      <c r="A150" s="11" t="s">
        <v>30</v>
      </c>
      <c r="B150" s="12" t="s">
        <v>18</v>
      </c>
      <c r="C150" s="26"/>
      <c r="D150" s="13">
        <f>SUM(D151:D177)</f>
        <v>1334561.01</v>
      </c>
    </row>
    <row r="151" spans="1:4" s="27" customFormat="1" ht="138.75" customHeight="1">
      <c r="A151" s="20" t="s">
        <v>185</v>
      </c>
      <c r="B151" s="7" t="s">
        <v>186</v>
      </c>
      <c r="C151" s="7">
        <v>500</v>
      </c>
      <c r="D151" s="21">
        <f>3600</f>
        <v>3600</v>
      </c>
    </row>
    <row r="152" spans="1:4" s="19" customFormat="1" ht="41.25" customHeight="1">
      <c r="A152" s="23" t="s">
        <v>113</v>
      </c>
      <c r="B152" s="7" t="s">
        <v>114</v>
      </c>
      <c r="C152" s="7">
        <v>800</v>
      </c>
      <c r="D152" s="21">
        <f>70000</f>
        <v>70000</v>
      </c>
    </row>
    <row r="153" spans="1:4" s="19" customFormat="1" ht="96.75" customHeight="1">
      <c r="A153" s="23" t="s">
        <v>172</v>
      </c>
      <c r="B153" s="7" t="s">
        <v>115</v>
      </c>
      <c r="C153" s="7">
        <v>200</v>
      </c>
      <c r="D153" s="21">
        <f>200000</f>
        <v>200000</v>
      </c>
    </row>
    <row r="154" spans="1:4" s="19" customFormat="1" ht="115.5" customHeight="1">
      <c r="A154" s="23" t="s">
        <v>132</v>
      </c>
      <c r="B154" s="7" t="s">
        <v>133</v>
      </c>
      <c r="C154" s="7">
        <v>200</v>
      </c>
      <c r="D154" s="21">
        <f>65000</f>
        <v>65000</v>
      </c>
    </row>
    <row r="155" spans="1:4" s="19" customFormat="1" ht="78.75" customHeight="1">
      <c r="A155" s="23" t="s">
        <v>198</v>
      </c>
      <c r="B155" s="7" t="s">
        <v>63</v>
      </c>
      <c r="C155" s="7">
        <v>200</v>
      </c>
      <c r="D155" s="21">
        <f>2277+525</f>
        <v>2802</v>
      </c>
    </row>
    <row r="156" spans="1:4" ht="78.75" customHeight="1">
      <c r="A156" s="23" t="s">
        <v>82</v>
      </c>
      <c r="B156" s="7" t="s">
        <v>63</v>
      </c>
      <c r="C156" s="7">
        <v>300</v>
      </c>
      <c r="D156" s="21">
        <f>248536.2+5271.6</f>
        <v>253807.80000000002</v>
      </c>
    </row>
    <row r="157" spans="1:4" ht="39.75" customHeight="1">
      <c r="A157" s="23" t="s">
        <v>244</v>
      </c>
      <c r="B157" s="7" t="s">
        <v>241</v>
      </c>
      <c r="C157" s="7">
        <v>800</v>
      </c>
      <c r="D157" s="21">
        <f>6000</f>
        <v>6000</v>
      </c>
    </row>
    <row r="158" spans="1:4" ht="139.5" customHeight="1">
      <c r="A158" s="23" t="s">
        <v>245</v>
      </c>
      <c r="B158" s="7" t="s">
        <v>242</v>
      </c>
      <c r="C158" s="7">
        <v>800</v>
      </c>
      <c r="D158" s="21">
        <f>50000</f>
        <v>50000</v>
      </c>
    </row>
    <row r="159" spans="1:4" ht="159.75" customHeight="1">
      <c r="A159" s="23" t="s">
        <v>246</v>
      </c>
      <c r="B159" s="7" t="s">
        <v>243</v>
      </c>
      <c r="C159" s="7">
        <v>800</v>
      </c>
      <c r="D159" s="21">
        <f>50000</f>
        <v>50000</v>
      </c>
    </row>
    <row r="160" spans="1:4" ht="139.5" customHeight="1">
      <c r="A160" s="23" t="s">
        <v>271</v>
      </c>
      <c r="B160" s="7" t="s">
        <v>269</v>
      </c>
      <c r="C160" s="7">
        <v>800</v>
      </c>
      <c r="D160" s="21">
        <f>10000</f>
        <v>10000</v>
      </c>
    </row>
    <row r="161" spans="1:4" ht="101.25" customHeight="1">
      <c r="A161" s="23" t="s">
        <v>272</v>
      </c>
      <c r="B161" s="7" t="s">
        <v>270</v>
      </c>
      <c r="C161" s="7">
        <v>800</v>
      </c>
      <c r="D161" s="21">
        <f>50000</f>
        <v>50000</v>
      </c>
    </row>
    <row r="162" spans="1:4" ht="124.5" customHeight="1">
      <c r="A162" s="23" t="s">
        <v>282</v>
      </c>
      <c r="B162" s="7" t="s">
        <v>281</v>
      </c>
      <c r="C162" s="7">
        <v>800</v>
      </c>
      <c r="D162" s="21">
        <f>50000</f>
        <v>50000</v>
      </c>
    </row>
    <row r="163" spans="1:4" ht="124.5" customHeight="1">
      <c r="A163" s="23" t="s">
        <v>286</v>
      </c>
      <c r="B163" s="7" t="s">
        <v>284</v>
      </c>
      <c r="C163" s="7">
        <v>800</v>
      </c>
      <c r="D163" s="21">
        <v>10000</v>
      </c>
    </row>
    <row r="164" spans="1:4" ht="164.25" customHeight="1">
      <c r="A164" s="23" t="s">
        <v>287</v>
      </c>
      <c r="B164" s="7" t="s">
        <v>285</v>
      </c>
      <c r="C164" s="7">
        <v>800</v>
      </c>
      <c r="D164" s="21">
        <v>30000</v>
      </c>
    </row>
    <row r="165" spans="1:4" ht="118.5" customHeight="1">
      <c r="A165" s="30" t="s">
        <v>289</v>
      </c>
      <c r="B165" s="7" t="s">
        <v>288</v>
      </c>
      <c r="C165" s="7">
        <v>800</v>
      </c>
      <c r="D165" s="21">
        <f>50000</f>
        <v>50000</v>
      </c>
    </row>
    <row r="166" spans="1:4" ht="117.75" customHeight="1">
      <c r="A166" s="31" t="s">
        <v>291</v>
      </c>
      <c r="B166" s="7" t="s">
        <v>290</v>
      </c>
      <c r="C166" s="7">
        <v>800</v>
      </c>
      <c r="D166" s="21">
        <f>50000</f>
        <v>50000</v>
      </c>
    </row>
    <row r="167" spans="1:4" ht="136.5" customHeight="1">
      <c r="A167" s="32" t="s">
        <v>293</v>
      </c>
      <c r="B167" s="7" t="s">
        <v>292</v>
      </c>
      <c r="C167" s="7">
        <v>800</v>
      </c>
      <c r="D167" s="21">
        <f>50000</f>
        <v>50000</v>
      </c>
    </row>
    <row r="168" spans="1:4" ht="142.5" customHeight="1">
      <c r="A168" s="40" t="s">
        <v>299</v>
      </c>
      <c r="B168" s="7" t="s">
        <v>296</v>
      </c>
      <c r="C168" s="7">
        <v>800</v>
      </c>
      <c r="D168" s="21">
        <v>30000</v>
      </c>
    </row>
    <row r="169" spans="1:4" ht="104.25" customHeight="1">
      <c r="A169" s="40" t="s">
        <v>300</v>
      </c>
      <c r="B169" s="7" t="s">
        <v>297</v>
      </c>
      <c r="C169" s="7">
        <v>800</v>
      </c>
      <c r="D169" s="21">
        <v>30000</v>
      </c>
    </row>
    <row r="170" spans="1:4" ht="102.75" customHeight="1">
      <c r="A170" s="32" t="s">
        <v>301</v>
      </c>
      <c r="B170" s="7" t="s">
        <v>298</v>
      </c>
      <c r="C170" s="7">
        <v>800</v>
      </c>
      <c r="D170" s="21">
        <v>30000</v>
      </c>
    </row>
    <row r="171" spans="1:4" ht="64.5" customHeight="1">
      <c r="A171" s="40" t="s">
        <v>304</v>
      </c>
      <c r="B171" s="7" t="s">
        <v>302</v>
      </c>
      <c r="C171" s="7">
        <v>800</v>
      </c>
      <c r="D171" s="21">
        <v>50000</v>
      </c>
    </row>
    <row r="172" spans="1:4" ht="62.25" customHeight="1">
      <c r="A172" s="32" t="s">
        <v>305</v>
      </c>
      <c r="B172" s="41" t="s">
        <v>303</v>
      </c>
      <c r="C172" s="41">
        <v>800</v>
      </c>
      <c r="D172" s="42">
        <v>50000</v>
      </c>
    </row>
    <row r="173" spans="1:4" ht="142.5" customHeight="1">
      <c r="A173" s="40" t="s">
        <v>321</v>
      </c>
      <c r="B173" s="7" t="s">
        <v>313</v>
      </c>
      <c r="C173" s="41">
        <v>800</v>
      </c>
      <c r="D173" s="21">
        <f>37500</f>
        <v>37500</v>
      </c>
    </row>
    <row r="174" spans="1:4" ht="117" customHeight="1">
      <c r="A174" s="40" t="s">
        <v>318</v>
      </c>
      <c r="B174" s="7" t="s">
        <v>314</v>
      </c>
      <c r="C174" s="7">
        <v>200</v>
      </c>
      <c r="D174" s="21">
        <f>3751.21</f>
        <v>3751.21</v>
      </c>
    </row>
    <row r="175" spans="1:4" ht="79.5" customHeight="1">
      <c r="A175" s="40" t="s">
        <v>317</v>
      </c>
      <c r="B175" s="7" t="s">
        <v>314</v>
      </c>
      <c r="C175" s="41">
        <v>800</v>
      </c>
      <c r="D175" s="21">
        <f>600</f>
        <v>600</v>
      </c>
    </row>
    <row r="176" spans="1:4" ht="80.25" customHeight="1">
      <c r="A176" s="40" t="s">
        <v>319</v>
      </c>
      <c r="B176" s="7" t="s">
        <v>315</v>
      </c>
      <c r="C176" s="41">
        <v>800</v>
      </c>
      <c r="D176" s="21">
        <f>64000</f>
        <v>64000</v>
      </c>
    </row>
    <row r="177" spans="1:4" ht="81.75" customHeight="1">
      <c r="A177" s="40" t="s">
        <v>320</v>
      </c>
      <c r="B177" s="7" t="s">
        <v>316</v>
      </c>
      <c r="C177" s="41">
        <v>800</v>
      </c>
      <c r="D177" s="21">
        <f>37500</f>
        <v>37500</v>
      </c>
    </row>
    <row r="178" spans="1:4" s="14" customFormat="1" ht="32.25" customHeight="1">
      <c r="A178" s="45" t="s">
        <v>173</v>
      </c>
      <c r="B178" s="45"/>
      <c r="C178" s="45"/>
      <c r="D178" s="13">
        <f>D26+D41+D114+D142+D149+D124</f>
        <v>123208032.52000001</v>
      </c>
    </row>
    <row r="179" ht="18.75">
      <c r="D179" s="34" t="s">
        <v>232</v>
      </c>
    </row>
    <row r="180" spans="2:4" s="15" customFormat="1" ht="18.75">
      <c r="B180" s="35"/>
      <c r="C180" s="36"/>
      <c r="D180" s="37"/>
    </row>
    <row r="183" spans="1:4" s="15" customFormat="1" ht="18.75">
      <c r="A183" s="38"/>
      <c r="B183" s="35"/>
      <c r="C183" s="36"/>
      <c r="D183" s="37"/>
    </row>
    <row r="184" spans="1:4" s="15" customFormat="1" ht="18.75">
      <c r="A184" s="39"/>
      <c r="B184" s="35"/>
      <c r="C184" s="36"/>
      <c r="D184" s="37"/>
    </row>
    <row r="185" ht="18.75">
      <c r="D185" s="37"/>
    </row>
  </sheetData>
  <sheetProtection/>
  <mergeCells count="19">
    <mergeCell ref="A178:C178"/>
    <mergeCell ref="A12:D12"/>
    <mergeCell ref="A13:D13"/>
    <mergeCell ref="A14:D14"/>
    <mergeCell ref="A15:D15"/>
    <mergeCell ref="A16:D16"/>
    <mergeCell ref="A18:D18"/>
    <mergeCell ref="A19:D19"/>
    <mergeCell ref="A22:D22"/>
    <mergeCell ref="A17:D17"/>
    <mergeCell ref="A7:D7"/>
    <mergeCell ref="A8:D8"/>
    <mergeCell ref="A9:D9"/>
    <mergeCell ref="A1:D1"/>
    <mergeCell ref="A2:D2"/>
    <mergeCell ref="A3:D3"/>
    <mergeCell ref="A4:D4"/>
    <mergeCell ref="A5:D5"/>
    <mergeCell ref="A6:D6"/>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2023-05-19T11:23:56Z</dcterms:modified>
  <cp:category/>
  <cp:version/>
  <cp:contentType/>
  <cp:contentStatus/>
</cp:coreProperties>
</file>