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05" windowWidth="15120" windowHeight="8010"/>
  </bookViews>
  <sheets>
    <sheet name="Прил.№6 Распределен на 2017 год" sheetId="1" r:id="rId1"/>
  </sheets>
  <definedNames>
    <definedName name="_xlnm.Print_Titles" localSheetId="0">'Прил.№6 Распределен на 2017 год'!#REF!</definedName>
  </definedNames>
  <calcPr calcId="152511"/>
</workbook>
</file>

<file path=xl/calcChain.xml><?xml version="1.0" encoding="utf-8"?>
<calcChain xmlns="http://schemas.openxmlformats.org/spreadsheetml/2006/main">
  <c r="D95" i="1" l="1"/>
  <c r="D327" i="1" l="1"/>
  <c r="D138" i="1"/>
  <c r="D264" i="1" l="1"/>
  <c r="D335" i="1"/>
  <c r="D328" i="1" l="1"/>
  <c r="D288" i="1"/>
  <c r="D214" i="1"/>
  <c r="D213" i="1"/>
  <c r="D179" i="1"/>
  <c r="D155" i="1"/>
  <c r="D154" i="1"/>
  <c r="D153" i="1"/>
  <c r="D124" i="1"/>
  <c r="D92" i="1"/>
  <c r="D64" i="1"/>
  <c r="D49" i="1"/>
  <c r="D48" i="1"/>
  <c r="D47" i="1"/>
  <c r="D32" i="1"/>
  <c r="D30" i="1"/>
  <c r="D29" i="1"/>
  <c r="D225" i="1" l="1"/>
  <c r="D344" i="1" l="1"/>
  <c r="D318" i="1" l="1"/>
  <c r="D317" i="1"/>
  <c r="D314" i="1"/>
  <c r="D283" i="1"/>
  <c r="D267" i="1"/>
  <c r="D265" i="1"/>
  <c r="D168" i="1"/>
  <c r="D159" i="1"/>
  <c r="D77" i="1"/>
  <c r="D311" i="1" l="1"/>
  <c r="D310" i="1" s="1"/>
  <c r="D309" i="1" s="1"/>
  <c r="D209" i="1"/>
  <c r="D323" i="1" l="1"/>
  <c r="D325" i="1"/>
  <c r="D321" i="1"/>
  <c r="D239" i="1"/>
  <c r="D160" i="1"/>
  <c r="D94" i="1"/>
  <c r="D60" i="1"/>
  <c r="D59" i="1" s="1"/>
  <c r="D31" i="1" l="1"/>
  <c r="D115" i="1" l="1"/>
  <c r="D284" i="1" l="1"/>
  <c r="D280" i="1"/>
  <c r="D186" i="1" l="1"/>
  <c r="D263" i="1" l="1"/>
  <c r="D337" i="1" l="1"/>
  <c r="D268" i="1"/>
  <c r="D197" i="1"/>
  <c r="D137" i="1"/>
  <c r="D127" i="1"/>
  <c r="D58" i="1"/>
  <c r="D57" i="1"/>
  <c r="D112" i="1" l="1"/>
  <c r="D245" i="1" l="1"/>
  <c r="D230" i="1"/>
  <c r="D224" i="1"/>
  <c r="D191" i="1"/>
  <c r="D190" i="1" s="1"/>
  <c r="D189" i="1"/>
  <c r="D188" i="1" s="1"/>
  <c r="D91" i="1"/>
  <c r="D88" i="1"/>
  <c r="D87" i="1"/>
  <c r="D46" i="1"/>
  <c r="D279" i="1" l="1"/>
  <c r="D130" i="1"/>
  <c r="D123" i="1"/>
  <c r="D183" i="1" l="1"/>
  <c r="D171" i="1"/>
  <c r="D203" i="1" l="1"/>
  <c r="D149" i="1" l="1"/>
  <c r="D129" i="1"/>
  <c r="D108" i="1"/>
  <c r="D107" i="1"/>
  <c r="D106" i="1"/>
  <c r="D319" i="1" l="1"/>
  <c r="D257" i="1"/>
  <c r="D256" i="1"/>
  <c r="D202" i="1"/>
  <c r="D200" i="1" s="1"/>
  <c r="D199" i="1" s="1"/>
  <c r="D122" i="1"/>
  <c r="D198" i="1" l="1"/>
  <c r="D194" i="1" s="1"/>
  <c r="D307" i="1"/>
  <c r="D303" i="1"/>
  <c r="D276" i="1"/>
  <c r="D274" i="1" s="1"/>
  <c r="D170" i="1"/>
  <c r="D233" i="1" l="1"/>
  <c r="D232" i="1" s="1"/>
  <c r="D208" i="1" l="1"/>
  <c r="D207" i="1" s="1"/>
  <c r="D308" i="1" l="1"/>
  <c r="D304" i="1"/>
  <c r="D182" i="1" l="1"/>
  <c r="D253" i="1"/>
  <c r="D306" i="1" l="1"/>
  <c r="D255" i="1"/>
  <c r="D254" i="1" s="1"/>
  <c r="D163" i="1"/>
  <c r="D54" i="1"/>
  <c r="D338" i="1" l="1"/>
  <c r="D326" i="1" s="1"/>
  <c r="D302" i="1"/>
  <c r="D165" i="1"/>
  <c r="D164" i="1" s="1"/>
  <c r="D158" i="1"/>
  <c r="D136" i="1"/>
  <c r="D134" i="1"/>
  <c r="D71" i="1"/>
  <c r="D70" i="1"/>
  <c r="D50" i="1"/>
  <c r="D36" i="1"/>
  <c r="D34" i="1"/>
  <c r="D141" i="1" l="1"/>
  <c r="D315" i="1"/>
  <c r="D69" i="1"/>
  <c r="D104" i="1" l="1"/>
  <c r="D53" i="1"/>
  <c r="D148" i="1" l="1"/>
  <c r="D105" i="1"/>
  <c r="D103" i="1" l="1"/>
  <c r="D147" i="1"/>
  <c r="D229" i="1" l="1"/>
  <c r="D75" i="1" l="1"/>
  <c r="D262" i="1" l="1"/>
  <c r="D67" i="1" l="1"/>
  <c r="D45" i="1"/>
  <c r="D44" i="1" s="1"/>
  <c r="D40" i="1"/>
  <c r="D28" i="1"/>
  <c r="D242" i="1" l="1"/>
  <c r="D218" i="1"/>
  <c r="D217" i="1" s="1"/>
  <c r="D111" i="1" l="1"/>
  <c r="D63" i="1"/>
  <c r="D305" i="1" l="1"/>
  <c r="D301" i="1"/>
  <c r="D298" i="1"/>
  <c r="D297" i="1" s="1"/>
  <c r="D260" i="1"/>
  <c r="D266" i="1"/>
  <c r="D269" i="1"/>
  <c r="D273" i="1"/>
  <c r="D278" i="1"/>
  <c r="D282" i="1"/>
  <c r="D238" i="1"/>
  <c r="D237" i="1" s="1"/>
  <c r="D236" i="1" s="1"/>
  <c r="D228" i="1"/>
  <c r="D193" i="1"/>
  <c r="D205" i="1"/>
  <c r="D178" i="1"/>
  <c r="D177" i="1" s="1"/>
  <c r="D175" i="1"/>
  <c r="D174" i="1" s="1"/>
  <c r="D169" i="1"/>
  <c r="D162" i="1"/>
  <c r="D152" i="1"/>
  <c r="D146" i="1"/>
  <c r="D135" i="1"/>
  <c r="D133" i="1"/>
  <c r="D128" i="1" l="1"/>
  <c r="D277" i="1"/>
  <c r="D259" i="1"/>
  <c r="D192" i="1"/>
  <c r="D300" i="1"/>
  <c r="D296" i="1"/>
  <c r="D161" i="1"/>
  <c r="D181" i="1"/>
  <c r="D151" i="1"/>
  <c r="D150" i="1" l="1"/>
  <c r="D258" i="1"/>
  <c r="D144" i="1"/>
  <c r="D140" i="1" s="1"/>
  <c r="D99" i="1"/>
  <c r="D110" i="1"/>
  <c r="D117" i="1"/>
  <c r="D86" i="1" l="1"/>
  <c r="D85" i="1" s="1"/>
  <c r="D82" i="1"/>
  <c r="D81" i="1" s="1"/>
  <c r="D252" i="1"/>
  <c r="D251" i="1" s="1"/>
  <c r="D223" i="1"/>
  <c r="D126" i="1"/>
  <c r="D125" i="1" s="1"/>
  <c r="D121" i="1"/>
  <c r="D116" i="1"/>
  <c r="D100" i="1"/>
  <c r="D72" i="1"/>
  <c r="D98" i="1" l="1"/>
  <c r="D216" i="1"/>
  <c r="D287" i="1"/>
  <c r="D286" i="1" s="1"/>
  <c r="D66" i="1"/>
  <c r="D37" i="1"/>
  <c r="D90" i="1"/>
  <c r="D89" i="1" s="1"/>
  <c r="D62" i="1"/>
  <c r="D291" i="1"/>
  <c r="D290" i="1" s="1"/>
  <c r="D74" i="1"/>
  <c r="D27" i="1" l="1"/>
  <c r="D26" i="1" s="1"/>
  <c r="D285" i="1"/>
  <c r="D241" i="1"/>
  <c r="D240" i="1" s="1"/>
  <c r="D345" i="1" l="1"/>
</calcChain>
</file>

<file path=xl/sharedStrings.xml><?xml version="1.0" encoding="utf-8"?>
<sst xmlns="http://schemas.openxmlformats.org/spreadsheetml/2006/main" count="661" uniqueCount="612">
  <si>
    <t>01 0 00 00000</t>
  </si>
  <si>
    <t>01 1 00 00000</t>
  </si>
  <si>
    <t>01 1 01 00000</t>
  </si>
  <si>
    <t>01 1 01 00020</t>
  </si>
  <si>
    <t>01 1 01 00030</t>
  </si>
  <si>
    <t>01 1 01 80170</t>
  </si>
  <si>
    <t>Основное мероприятие "Содействие развитию дошкольного образования"</t>
  </si>
  <si>
    <t>01 1 02 20010</t>
  </si>
  <si>
    <t>01 1 03 00000</t>
  </si>
  <si>
    <t>01 1 03 80100</t>
  </si>
  <si>
    <t>01 1 03 80110</t>
  </si>
  <si>
    <t>01 2 00 00000</t>
  </si>
  <si>
    <t>01 2 01 00000</t>
  </si>
  <si>
    <t>01 2 01 00050</t>
  </si>
  <si>
    <t>01 2 01 80150</t>
  </si>
  <si>
    <t>01 2 02 00000</t>
  </si>
  <si>
    <t>Основное мероприятие "Содействие развитию общего образования"</t>
  </si>
  <si>
    <t>01 2 02 00040</t>
  </si>
  <si>
    <t>01 2 02 20020</t>
  </si>
  <si>
    <t>01 3 00 00000</t>
  </si>
  <si>
    <t>01 3 01 00000</t>
  </si>
  <si>
    <t>01 3 01 00080</t>
  </si>
  <si>
    <t>01 4 00 00000</t>
  </si>
  <si>
    <t>Подпрограмма "Организованный отдых детей в каникулярное время"</t>
  </si>
  <si>
    <t>01 4 01 00000</t>
  </si>
  <si>
    <t>01 4 01 S0190</t>
  </si>
  <si>
    <t>01 4 01 20040</t>
  </si>
  <si>
    <t>01 4 01 80190</t>
  </si>
  <si>
    <t>01 4 02 00000</t>
  </si>
  <si>
    <t>01 4 02 80200</t>
  </si>
  <si>
    <t>01 5 00 00000</t>
  </si>
  <si>
    <t>01 5 01 00000</t>
  </si>
  <si>
    <t>01 5 01 20050</t>
  </si>
  <si>
    <t>01 5 01 20060</t>
  </si>
  <si>
    <t>01 6 00 00000</t>
  </si>
  <si>
    <t>Подпрограмма "Профессиональная переподготовка и повышение квалификации"</t>
  </si>
  <si>
    <t>01 6 01 00000</t>
  </si>
  <si>
    <t>Основное мероприятие "Развитие кадрового потенциала работников сферы образования"</t>
  </si>
  <si>
    <t>01 6 01 20070</t>
  </si>
  <si>
    <t>01 7 00 00000</t>
  </si>
  <si>
    <t>Подпрограмма "Организация временного трудоустройства несовершеннолетних граждан в возрасте от 14 до 18 лет в свободное от учебы время"</t>
  </si>
  <si>
    <t>Основное мероприятие "Реализация мероприятий по содействию занятости"</t>
  </si>
  <si>
    <t>01 7 01 20080</t>
  </si>
  <si>
    <t>01 8 00 00000</t>
  </si>
  <si>
    <t>01 8 01 00000</t>
  </si>
  <si>
    <t>01 8 01 00090</t>
  </si>
  <si>
    <t>02 0 00 00000</t>
  </si>
  <si>
    <t>02 1 00 00000</t>
  </si>
  <si>
    <t>02 1 01 00000</t>
  </si>
  <si>
    <t>Основное мероприятие "Строительство и реконструкция автомобильных дорог общего пользования Южского муниципального района муниципального значения"</t>
  </si>
  <si>
    <t>02 1 01 20790</t>
  </si>
  <si>
    <t>Разработка проектно-сметной документации по объекту "Строительство моста через р.Теза на автомобильной дороге Хотимль-Емельяново Южского района Ивановской области"</t>
  </si>
  <si>
    <t>02 1 01 40070</t>
  </si>
  <si>
    <t xml:space="preserve">Строительство моста через р.Теза на автомобильной дороге Хотимль-Емельяново Южского района Ивановской области </t>
  </si>
  <si>
    <t>02 2 00 00000</t>
  </si>
  <si>
    <t>02 2 01 00000</t>
  </si>
  <si>
    <t>02 2 01 20120</t>
  </si>
  <si>
    <t>02 2 01 20130</t>
  </si>
  <si>
    <t>02 4 00 00000</t>
  </si>
  <si>
    <t>Подпрограмма "Предоставление субсидий из бюджета Южского муниципального района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t>
  </si>
  <si>
    <t>02 4 01 00000</t>
  </si>
  <si>
    <t>Основное мероприятие "Поддержка на доступном уровне объема пассажирских перевозок на автобусных маршрутах"</t>
  </si>
  <si>
    <t>02 4 01 60010</t>
  </si>
  <si>
    <t>02 6 01 70070</t>
  </si>
  <si>
    <t xml:space="preserve">Предоставление за счет средств бюджета Южского муниципального района дополнительной субсидии в размере 5 процентов расчетной стоимости жилья </t>
  </si>
  <si>
    <t>02 6 01 80280</t>
  </si>
  <si>
    <t>Субсидии гражданам на оплату первоначального взноса при получении ипотечного жилищного кредита или на погашение основной суммы долга на уплату процентов по ипотечному жилищному кредиту</t>
  </si>
  <si>
    <t>02 7 00 00000</t>
  </si>
  <si>
    <t>02 7 01 00000</t>
  </si>
  <si>
    <t>02 7 01 20160</t>
  </si>
  <si>
    <t>02 8 00 00000</t>
  </si>
  <si>
    <t>02 8 01 00000</t>
  </si>
  <si>
    <t>02 8 01 60070</t>
  </si>
  <si>
    <t>03 0 00 00000</t>
  </si>
  <si>
    <t>03 1 00 00000</t>
  </si>
  <si>
    <t>03 1 01 00000</t>
  </si>
  <si>
    <t>Основное мероприятие "Развитие библиотечного дела"</t>
  </si>
  <si>
    <t>03 1 01 00360</t>
  </si>
  <si>
    <t>03 1 01 00370</t>
  </si>
  <si>
    <t>03 1 02 00000</t>
  </si>
  <si>
    <t>03 1 02 S0340</t>
  </si>
  <si>
    <t>03 2 00 00000</t>
  </si>
  <si>
    <t>Подпрограмма "Дополнительное образование детей в сфере культуры и искусства"</t>
  </si>
  <si>
    <t>03 2 01 00000</t>
  </si>
  <si>
    <t>Основное мероприятие "Реализация дополнительных общеобразовательных программ"</t>
  </si>
  <si>
    <t>03 2 01 00140</t>
  </si>
  <si>
    <t>03 2 02 00000</t>
  </si>
  <si>
    <t>Основное мероприятие "Повышение средней заработной платы работников дополнительного образования"</t>
  </si>
  <si>
    <t>03 3 00 00000</t>
  </si>
  <si>
    <t>Подпрограмма "Библиотечный фонд- стратегический ресурс общества"</t>
  </si>
  <si>
    <t>03 3 01 00000</t>
  </si>
  <si>
    <t>Основное мероприятие "Формирование фондов библиотеки"</t>
  </si>
  <si>
    <t>03 3 01 20200</t>
  </si>
  <si>
    <t>03 5 00 00000</t>
  </si>
  <si>
    <t>03 5 01 00000</t>
  </si>
  <si>
    <t xml:space="preserve">Основное мероприятие "Укрепление материально-технической базы библиотечных учреждений Южского района" </t>
  </si>
  <si>
    <t>03 5 01 20230</t>
  </si>
  <si>
    <t>03 7 00 00000</t>
  </si>
  <si>
    <t>03 7 01 00000</t>
  </si>
  <si>
    <t>04 0 00 00000</t>
  </si>
  <si>
    <t>04 2 00 00000</t>
  </si>
  <si>
    <t>04 4 00 00000</t>
  </si>
  <si>
    <t>05 0 00 00000</t>
  </si>
  <si>
    <t>05 1 00 00000</t>
  </si>
  <si>
    <t>05 1 01 00000</t>
  </si>
  <si>
    <t>05 1 01 60030</t>
  </si>
  <si>
    <t>05 1 01 60050</t>
  </si>
  <si>
    <t>05 2 00 00000</t>
  </si>
  <si>
    <t>05 2 01 00000</t>
  </si>
  <si>
    <t>05 2 01 20380</t>
  </si>
  <si>
    <t>05 3 00 00000</t>
  </si>
  <si>
    <t>05 3 01 00000</t>
  </si>
  <si>
    <t>06 0 00 00000</t>
  </si>
  <si>
    <t>06 1 00 00000</t>
  </si>
  <si>
    <t>06 1 01 00000</t>
  </si>
  <si>
    <t>06 1 01 20420</t>
  </si>
  <si>
    <t>07 0 00 00000</t>
  </si>
  <si>
    <t>Муниципальная программа Южского муниципального района "Оказание поддержки общественным объединениям ветеранов, инвалидов и другим маломобильным группам населения Южского муниципального района"</t>
  </si>
  <si>
    <t>07 1 00 00000</t>
  </si>
  <si>
    <t>07 1 01 00000</t>
  </si>
  <si>
    <t>Основное мероприятие "Организация мероприятий в интересах лиц с ограниченными возможностями здоровья"</t>
  </si>
  <si>
    <t>07 1 01 20430</t>
  </si>
  <si>
    <t>07 1 01 20440</t>
  </si>
  <si>
    <t>07 1 02 00000</t>
  </si>
  <si>
    <t>Основное мероприятие "Адаптация учреждений Южского муниципального района к обслуживанию инвалидов и других маломобильных групп"</t>
  </si>
  <si>
    <t>07 1 02 20460</t>
  </si>
  <si>
    <t>07 1 02 20480</t>
  </si>
  <si>
    <t>07 5 00 00000</t>
  </si>
  <si>
    <t>07 5 01 00000</t>
  </si>
  <si>
    <t>07 5 01 60060</t>
  </si>
  <si>
    <t>08 0 00 00000</t>
  </si>
  <si>
    <t>08 1 00 00000</t>
  </si>
  <si>
    <t>08 1 01 00000</t>
  </si>
  <si>
    <t>Основное мероприятие "Обеспечение деятельности лиц, замещающих муниципальные должности"</t>
  </si>
  <si>
    <t>08 1 01 00190</t>
  </si>
  <si>
    <t>08 1 02 00000</t>
  </si>
  <si>
    <t>08 1 02 00170</t>
  </si>
  <si>
    <t>08 1 03 00000</t>
  </si>
  <si>
    <t>08 1 04 00000</t>
  </si>
  <si>
    <t>Основное мероприятие "Обеспечение общественного порядка и профилактика правонарушений"</t>
  </si>
  <si>
    <t>08 1 04 80350</t>
  </si>
  <si>
    <t>08 1 04 80360</t>
  </si>
  <si>
    <t>08 2 00 00000</t>
  </si>
  <si>
    <t>08 2 01 00000</t>
  </si>
  <si>
    <t>09 0 00 00000</t>
  </si>
  <si>
    <t>Муниципальная программа Южского муниципального района "Профилактика правонарушений в Южском муниципальном районе"</t>
  </si>
  <si>
    <t>09 1 00 00000</t>
  </si>
  <si>
    <t>Подпрограмма "Профилактика правонарушений и преступлений в Южском муниципальном районе"</t>
  </si>
  <si>
    <t>09 1 01 00000</t>
  </si>
  <si>
    <t>Основное мероприятие "Обеспечение общественного порядка"</t>
  </si>
  <si>
    <t>09 1 01 20660</t>
  </si>
  <si>
    <t>09 2 00 00000</t>
  </si>
  <si>
    <t>Подпрограмма "Профилактика безнадзорности и правонарушений несовершеннолетних"</t>
  </si>
  <si>
    <t>09 2 01 00000</t>
  </si>
  <si>
    <t>Основное мероприятие "Профилактика правонарушений"</t>
  </si>
  <si>
    <t>09 2 01 20670</t>
  </si>
  <si>
    <t>09 2 01 20680</t>
  </si>
  <si>
    <t>09 2 01 20690</t>
  </si>
  <si>
    <t>09 2 01 20700</t>
  </si>
  <si>
    <t>30 9 00 00000</t>
  </si>
  <si>
    <t>30 9 00 00200</t>
  </si>
  <si>
    <t>30 9 00 00210</t>
  </si>
  <si>
    <t>30 9 00 00220</t>
  </si>
  <si>
    <t>30 9 00 00230</t>
  </si>
  <si>
    <t>31 9 00 00000</t>
  </si>
  <si>
    <t>31 9 00 00240</t>
  </si>
  <si>
    <t>Основное мероприятие "Обеспечение сохранения объектов культурного наследия"</t>
  </si>
  <si>
    <t>Наименование</t>
  </si>
  <si>
    <t>Целевая статья</t>
  </si>
  <si>
    <t>Вид рас-ходов</t>
  </si>
  <si>
    <t>Сумма, руб.</t>
  </si>
  <si>
    <t>к решению Совета Южского</t>
  </si>
  <si>
    <t>муниципального района</t>
  </si>
  <si>
    <t xml:space="preserve">"О бюджете Южского </t>
  </si>
  <si>
    <t xml:space="preserve">муниципального района </t>
  </si>
  <si>
    <t>Подпрограмма "Водохозяйственные мероприятия на оз. Вазаль Южского муниципального района"</t>
  </si>
  <si>
    <t xml:space="preserve">30 9 00 00350 </t>
  </si>
  <si>
    <t>08 1 03 20550</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</si>
  <si>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(Иные бюджетные ассигнования)</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</si>
  <si>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</si>
  <si>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</si>
  <si>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</si>
  <si>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</si>
  <si>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</si>
  <si>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</si>
  <si>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</si>
  <si>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</si>
  <si>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</si>
  <si>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</si>
  <si>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</si>
  <si>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</si>
  <si>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</si>
  <si>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Организация временного трудоустройства несовершеннолетних граждан в возрасте от 14 до 18 лет в свободное от учебы время (Предоставление субсидий бюджетным, автономным учреждениям и иным некоммерческим организациям)</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</si>
  <si>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</si>
  <si>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Средства на повышение средней заработной платы педагогическим работникам муниципальных организаций дополнительного образования детей Южского муниципального района в сфере культуры и искусства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</si>
  <si>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Проведение мероприятий среди молодежи (Предоставление субсидий бюджетным, автономным учреждениям и иным некоммерческим организациям)</t>
  </si>
  <si>
    <t>Обеспечение доступности услуг в сфере физической культуры и спорта в учреждениях образования (Предоставление субсидий бюджетным, автономным учреждениям и иным некоммерческим организациям)</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</si>
  <si>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</si>
  <si>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Библиотечное, библиографическое и информационное обслуживание пользователей (Иные бюджетные ассигнования)</t>
  </si>
  <si>
    <t>Обеспечение функционирования Контрольно-счетного органа Южского муниципального района (Иные бюджетные ассигнования)</t>
  </si>
  <si>
    <t>01 7 01 00000</t>
  </si>
  <si>
    <t>01 3 01 00320</t>
  </si>
  <si>
    <t>03 2 02 00330</t>
  </si>
  <si>
    <t xml:space="preserve">Содержание дошкольных 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 </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</si>
  <si>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</si>
  <si>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</si>
  <si>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Организация временного трудоустройства несовершеннолетних граждан в возрасте от 14 до 18 лет в свободное от учебы время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</si>
  <si>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</si>
  <si>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</si>
  <si>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</si>
  <si>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</si>
  <si>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Активизация работы с допризывной молодежью, повышение интереса к военно-прикладным видам спорта (Закупка товаров, работ и услуг для обеспечения государственных (муниципальных) нужд)</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</si>
  <si>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</si>
  <si>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</si>
  <si>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</si>
  <si>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Реализация мер по повышению эффективности функционирования и координации деятельности учреждений района, входящих в систему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</si>
  <si>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</si>
  <si>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Повышение уровня обеспечения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</si>
  <si>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Формирование общественного мнения, поддерживающего цели и задачи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</si>
  <si>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</si>
  <si>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Подпрограмма "Формирование доступной среды жизнедеятельности для инвалидов и других маломобильных групп населения в Южском муниципальном районе"</t>
  </si>
  <si>
    <t>01 1 02 00000</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</si>
  <si>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</si>
  <si>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</si>
  <si>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</si>
  <si>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</si>
  <si>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</si>
  <si>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Основное мероприятие "Финансовое обеспечение предоставления мер социальной поддержки"</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</si>
  <si>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</si>
  <si>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</si>
  <si>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</si>
  <si>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</si>
  <si>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03 7 01 S1980</t>
  </si>
  <si>
    <r>
      <t xml:space="preserve">Основное мероприятие "Организация отдыха и оздоровления детей" </t>
    </r>
    <r>
      <rPr>
        <i/>
        <sz val="10"/>
        <rFont val="Times New Roman"/>
        <family val="1"/>
        <charset val="204"/>
      </rPr>
      <t/>
    </r>
  </si>
  <si>
    <t>период 2018 и 2019 годов"</t>
  </si>
  <si>
    <t xml:space="preserve">на 2017 год и на плановый </t>
  </si>
  <si>
    <t>Муниципальная программа Южского муниципального района "Развитие образования Южского муниципального района"</t>
  </si>
  <si>
    <t xml:space="preserve">Подпрограмма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t>
  </si>
  <si>
    <t xml:space="preserve">Основное мероприятие "Развитие дошкольного образования"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</si>
  <si>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</si>
  <si>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</si>
  <si>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</si>
  <si>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Основное мероприятие "Финансовое обеспечение предоставления мер социальной поддержки в сфере образования" </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</si>
  <si>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</si>
  <si>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 xml:space="preserve">Подпрограмма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t>
  </si>
  <si>
    <t>Основное мероприятие "Реализация программ общего образования"</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</si>
  <si>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</si>
  <si>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</si>
  <si>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</si>
  <si>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Организация работы лагеря с дневным пребыванием детей "Подросток" (Закупка товаров, работ и услуг для обеспечения государственных (муниципальных) нужд)  </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</si>
  <si>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</si>
  <si>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</si>
  <si>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 xml:space="preserve">Подпрограмма "Одарённые дети" </t>
  </si>
  <si>
    <t xml:space="preserve">Основное мероприятие "Поддержка творчески одаренных детей"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</si>
  <si>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</si>
  <si>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</si>
  <si>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</si>
  <si>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Подпрограмма "Обеспечение деятельности структурных подразделений Отдела образования администрации Южского муниципального района"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</si>
  <si>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</si>
  <si>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</si>
  <si>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Подпрограмма "Развитие автомобильных дорог Южского муниципального района" </t>
  </si>
  <si>
    <t xml:space="preserve">Подпрограмма "Повышение безопасности дорожного движения в Южском муниципальном районе" </t>
  </si>
  <si>
    <t xml:space="preserve">Основное мероприятие "Обеспечение безопасности граждан" </t>
  </si>
  <si>
    <t>Подпрограмма "Обеспечение жильем молодых семей в Южском муниципальном районе"</t>
  </si>
  <si>
    <t xml:space="preserve">Основное мероприятие "Обеспечение жильем молодых семей"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</si>
  <si>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</si>
  <si>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 xml:space="preserve">Подпрограмма "Поддержка граждан в сфере ипотечного жилищного кредитования в Южском муниципальном районе" </t>
  </si>
  <si>
    <t xml:space="preserve">Основное мероприятие "Государственная поддержка граждан в сфере ипотечного жилищного кредитования" </t>
  </si>
  <si>
    <t>Подпрограмма "Инвестиции в объекты размещения отходов и их рекультивацию"</t>
  </si>
  <si>
    <t xml:space="preserve">Муниципальная программа Южского муниципального района "Развитие культуры Южского муниципального района" </t>
  </si>
  <si>
    <t xml:space="preserve">Подпрограмма "Развитие библиотечного дела в Южском муниципальном районе" </t>
  </si>
  <si>
    <t xml:space="preserve">Основное мероприятие "Повышение средней заработной платы работникам муниципальных учреждений культуры" </t>
  </si>
  <si>
    <t xml:space="preserve">Основное мероприятие "Содействие развитию учреждений культуры" </t>
  </si>
  <si>
    <t xml:space="preserve">Укрепление материально-технической базы учреждений культуры Южского муниципального района (Закупка товаров, работ и услуг для обеспечения государственных (муниципальных) нужд) </t>
  </si>
  <si>
    <t xml:space="preserve">Подпрограмма "Гражданско-патриотическое воспитание детей, подростков и молодежи" </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</si>
  <si>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</si>
  <si>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 xml:space="preserve">Подпрограмма "Развитие физической культуры и спорта в Южском муниципальном районе" </t>
  </si>
  <si>
    <t xml:space="preserve">Муниципальная программа Южского муниципального района "Экономическое развитие Южского муниципального района" </t>
  </si>
  <si>
    <t>Подпрограмма "Развитие малого и среднего предпринимательства"</t>
  </si>
  <si>
    <t xml:space="preserve">Основное мероприятие "Поддержка малого и среднего предпринимательства" </t>
  </si>
  <si>
    <t xml:space="preserve">Подпрограмма "Обеспечение финансирования работ по формированию земельных участков на территории Южского муниципального района" </t>
  </si>
  <si>
    <t xml:space="preserve">Основное мероприятие "Управление и распоряжение земельными ресурсами" </t>
  </si>
  <si>
    <t xml:space="preserve">Организация проведения кадастровых работ и государственного кадастрового учета земельных участков (Закупка товаров, работ и услуг для обеспечения государственных (муниципальных) нужд) </t>
  </si>
  <si>
    <t xml:space="preserve">Подпрограмма "Обеспечение финансирования работ по оформлению прав собственности Южского муниципального района на недвижимое имущество и его инвентаризации" </t>
  </si>
  <si>
    <t xml:space="preserve">Основное мероприятие "Управление и распоряжение имуществом" </t>
  </si>
  <si>
    <t xml:space="preserve">Подпрограмма "Энергосбережение и повышение энергетической эффективности в муниципальных учреждениях" </t>
  </si>
  <si>
    <t xml:space="preserve">Основное мероприятие "Повышение энергетической эффективности учреждений Южского муниципального района" </t>
  </si>
  <si>
    <t>Осуществление комплекса мер по внедрению энергосберегающих технологий в муниципальных учреждениях Южского муниципального района (Закупка товаров, работ и услуг для обеспечения государственных (муниципальных) нужд)</t>
  </si>
  <si>
    <t>Муниципальная программа Южского муниципального района "Совершенствование институтов местного самоуправления Южского муниципального района"</t>
  </si>
  <si>
    <t>Подпрограмма "Обеспечение деятельности Администрации Южского муниципального района и развитие муниципальной службы в Южском муниципальном районе"</t>
  </si>
  <si>
    <t xml:space="preserve">Основное мероприятие "Обеспечение деятельности исполнительно-распорядительных органов местного самоуправления Южского муниципального района" </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</si>
  <si>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</si>
  <si>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</si>
  <si>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 xml:space="preserve">Основное мероприятие "Развитие кадрового потенциала работников органов местного самоуправления" </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</si>
  <si>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</si>
  <si>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 xml:space="preserve">Основное мероприятие "Организация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  </t>
  </si>
  <si>
    <t xml:space="preserve">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(Закупка товаров, работ и услуг для обеспечения государственных (муниципальных) нужд) </t>
  </si>
  <si>
    <t>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(Предоставление субсидий бюджетным, автономным учреждениям и иным некоммерческим организациям)</t>
  </si>
  <si>
    <t>Непрограммные направления деятельности органов местного самоуправления Южского муниципального района и иных органов местного самоуправления</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</si>
  <si>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</si>
  <si>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</si>
  <si>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Обеспечение функционирования Совета Южского муниципального района (Иные бюджетные ассигнования)</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</si>
  <si>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</si>
  <si>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t>
  </si>
  <si>
    <t xml:space="preserve">Непрограммные направления деятельности исполнительно-распорядительных органов местного самоуправления Южского муниципального района </t>
  </si>
  <si>
    <t>Содержание и обслуживание казны (Закупка товаров, работ и услуг для обеспечения государственных (муниципальных) нужд)</t>
  </si>
  <si>
    <t xml:space="preserve">Содержание и обслуживание казны (Иные бюджетные ассигнования) </t>
  </si>
  <si>
    <r>
      <t xml:space="preserve">Организация дополнительного пенсионного обеспечения отдельных категорий граждан (Социальное обеспечение и иные выплаты населению) </t>
    </r>
    <r>
      <rPr>
        <i/>
        <sz val="10"/>
        <color rgb="FF002060"/>
        <rFont val="Times New Roman"/>
        <family val="1"/>
        <charset val="204"/>
      </rPr>
      <t/>
    </r>
  </si>
  <si>
    <r>
      <t xml:space="preserve">Всего: </t>
    </r>
    <r>
      <rPr>
        <i/>
        <sz val="10"/>
        <color rgb="FF002060"/>
        <rFont val="Times New Roman"/>
        <family val="1"/>
        <charset val="204"/>
      </rPr>
      <t/>
    </r>
  </si>
  <si>
    <t>Распределение бюджетных ассигнований бюджета Южского муниципального района по целевым статьям (муниципальным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(исполнительно-распорядительных органов Южского муниципального района)), группам видов расходов классификации расходов  бюджета Южского муниципального района на 2017 год</t>
  </si>
  <si>
    <t xml:space="preserve">02 1 03 00000 </t>
  </si>
  <si>
    <t>Основное мероприятие "Капитальный ремонт,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t>
  </si>
  <si>
    <t>02 2 01 21640</t>
  </si>
  <si>
    <t>Основное мероприятие "Обращение с отходами производства и потребления"</t>
  </si>
  <si>
    <t>02 Д 00 00000</t>
  </si>
  <si>
    <t>Подпрограмма "Развитие системы гражданской обороны, обеспечение безопасности, защиты населения и территории Южского муниципального района от чрезвычайных ситуаций"</t>
  </si>
  <si>
    <t>02 Ж 00 00000</t>
  </si>
  <si>
    <t>Основное мероприятие "Мероприятия по территориальной и гражданской обороне, защите населения и территории Южского муниципального района от чрезвычайных ситуаций природного и техногенного характера"</t>
  </si>
  <si>
    <t>02 Ж 01 00000</t>
  </si>
  <si>
    <t>Основное мероприятие "Резервный фонд"</t>
  </si>
  <si>
    <t xml:space="preserve">02 Ж 03 00000 </t>
  </si>
  <si>
    <t xml:space="preserve">02 Ж 03 20150 </t>
  </si>
  <si>
    <t xml:space="preserve">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</si>
  <si>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03 7 01 21550</t>
  </si>
  <si>
    <t>03 Д 00 00000</t>
  </si>
  <si>
    <t>Основное мероприятие "Организация и проведение событийных мероприятий"</t>
  </si>
  <si>
    <t>03 Д 01 00000</t>
  </si>
  <si>
    <t>03 Д 01 21520</t>
  </si>
  <si>
    <t>Основное мероприятие "Сохранение и развитие самодеятельного театрального движения"</t>
  </si>
  <si>
    <t>03 Д 02 00000</t>
  </si>
  <si>
    <t>03 Д 02 21530</t>
  </si>
  <si>
    <t>Основное мероприятие "Содействие развитию музейно-выставочной деятельности"</t>
  </si>
  <si>
    <t>03 Д 03 00000</t>
  </si>
  <si>
    <t>03 Д 03 21190</t>
  </si>
  <si>
    <t>03 Д 04 00000</t>
  </si>
  <si>
    <t>03 Д 04 21230</t>
  </si>
  <si>
    <t>12 0 00 00000</t>
  </si>
  <si>
    <t>12 1 00 00000</t>
  </si>
  <si>
    <t>12 1 01 00000</t>
  </si>
  <si>
    <t>12 1 01 L0200</t>
  </si>
  <si>
    <t>12 2 00 00000</t>
  </si>
  <si>
    <t>12 2 01 00000</t>
  </si>
  <si>
    <t>12 2 01 S0280</t>
  </si>
  <si>
    <t xml:space="preserve">02 Д 03 00000 </t>
  </si>
  <si>
    <t xml:space="preserve">02 Д 03 21480 </t>
  </si>
  <si>
    <t xml:space="preserve">02 Д 05 00000 </t>
  </si>
  <si>
    <t>02 Д 05 21680</t>
  </si>
  <si>
    <t xml:space="preserve">02 Д 06 00000 </t>
  </si>
  <si>
    <t>02 Д 06 21690</t>
  </si>
  <si>
    <t xml:space="preserve">02 И 00 00000 </t>
  </si>
  <si>
    <t xml:space="preserve">02 И 01 00000 </t>
  </si>
  <si>
    <t xml:space="preserve">02 И 01 21670 </t>
  </si>
  <si>
    <t xml:space="preserve">Муниципальная программа Южского муниципального района "Развитие физической культуры, спорта и повышение эффективности реализации молодежной политики Южского муниципального района" </t>
  </si>
  <si>
    <t>Основное мероприятие "Развитие чувства патриотизма, любви к родному краю, гордости за историческое наследие и настоящее России"</t>
  </si>
  <si>
    <t>04 2 02 00000</t>
  </si>
  <si>
    <t>04 2 02 20280</t>
  </si>
  <si>
    <t>04 2 02 20290</t>
  </si>
  <si>
    <t>04 2 02 20300</t>
  </si>
  <si>
    <t>Основное мероприятие "Проведение спортивно-оздоровительных и спортивно-массовых мероприятий"</t>
  </si>
  <si>
    <t>04 4 02 00000</t>
  </si>
  <si>
    <t>04 4 02 20330</t>
  </si>
  <si>
    <t>04 8 00 00000</t>
  </si>
  <si>
    <t>Подпрограмма "Организация и проведение мероприятий по работе с детьми, подростками, молодёжью и молодыми семьями"</t>
  </si>
  <si>
    <t>Основное мероприятие "Организация и проведение мероприятий по работе с детьми и молодежью и молодыми семьями"</t>
  </si>
  <si>
    <t>04 8 01 00000</t>
  </si>
  <si>
    <t>04 8 01 20310</t>
  </si>
  <si>
    <t>04 8 01 20320</t>
  </si>
  <si>
    <t>04 8 01 20340</t>
  </si>
  <si>
    <t>04 8 01 20350</t>
  </si>
  <si>
    <t>05 1 01 60110</t>
  </si>
  <si>
    <t xml:space="preserve">05 1 01 60120 </t>
  </si>
  <si>
    <t xml:space="preserve">05 2 01 21580 </t>
  </si>
  <si>
    <t>Подпрограмма "Обеспечение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</si>
  <si>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05 4 00 00000</t>
  </si>
  <si>
    <t xml:space="preserve">05 4 01 00000 </t>
  </si>
  <si>
    <t xml:space="preserve">08 1 03 20600 </t>
  </si>
  <si>
    <t>Подпрограмма "Повышение доступности и качества предоставления государственных и муниципальных услуг населению на базе муниципального бюджетного учреждения "Южский многофункциональный центр предоставления государственных и муниципальных услуг "Мои Документы"""</t>
  </si>
  <si>
    <t>Подпрограмма "Информационная открытость органов местного самоуправления Южского муниципального района и общественные связи"</t>
  </si>
  <si>
    <t xml:space="preserve">08 4 00 00000 </t>
  </si>
  <si>
    <t>Основное мероприятие "Обеспечение доступа к информации о деятельности органов местного самоуправления"</t>
  </si>
  <si>
    <t xml:space="preserve">08 4 01 00000 </t>
  </si>
  <si>
    <t xml:space="preserve">08 4 01 21180 </t>
  </si>
  <si>
    <t xml:space="preserve">08 4 01 21280  </t>
  </si>
  <si>
    <t xml:space="preserve">08 4 01 21420 </t>
  </si>
  <si>
    <t>Основное мероприятие "Укрепление материально-      технической базы"</t>
  </si>
  <si>
    <t xml:space="preserve">08 4 03 00000 </t>
  </si>
  <si>
    <t xml:space="preserve">08 4 03 20630 </t>
  </si>
  <si>
    <t xml:space="preserve">08 4 03 20650 </t>
  </si>
  <si>
    <t xml:space="preserve">11 0 00 00000 </t>
  </si>
  <si>
    <t xml:space="preserve">11 1 00 00000 </t>
  </si>
  <si>
    <t>Основное мероприятие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поселений Южского муниципального района, социальную и культурную адаптацию мигрантов, профилактику межнациональных (межэтнических) конфликтов"</t>
  </si>
  <si>
    <t xml:space="preserve">11 1 02 00000 </t>
  </si>
  <si>
    <t>31 9 00 66130</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</si>
  <si>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</si>
  <si>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</si>
  <si>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Резервный фонд администрации Южского муниципального района (Иные бюджетные ассигнования)</t>
  </si>
  <si>
    <t xml:space="preserve">Содержание и ремонт нецентрализованных источников водоснабжения  (Закупка товаров, работ и услуг для обеспечения государственных (муниципальных) нужд) </t>
  </si>
  <si>
    <t xml:space="preserve">Рекультивация Южской городской свалки (Закупка товаров, работ и услуг для обеспечения государственных (муниципальных) нужд)   </t>
  </si>
  <si>
    <t>Субсидии муниципальному унитарному предприятию на возмещение затрат по содержанию плотины на р.Пионерка (оз.Вазаль) (Иные бюджетные ассигнования)</t>
  </si>
  <si>
    <t xml:space="preserve">Предоставление субсидий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 (Иные бюджетные ассигнования) </t>
  </si>
  <si>
    <t>Обеспечение сохранности зданий учреждений в сфере культуры (Предоставление субсидий бюджетным, автономным учреждениям и иным некоммерческим организациям)</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</si>
  <si>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</si>
  <si>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Поддержка развития театрального движения (Предоставление субсидий бюджетным, автономным учреждениям и иным некоммерческим организациям)</t>
  </si>
  <si>
    <t>Активизация издательской деятельности музеев (Предоставление субсидий бюджетным, автономным учреждениям и иным некоммерческим организациям)</t>
  </si>
  <si>
    <t>Обеспечение сохранности объектов культурного наследия (Предоставление субсидий бюджетным, автономным учреждениям и иным некоммерческим организациям)</t>
  </si>
  <si>
    <t>Организация досуга молодых семей  (Закупка товаров, работ и услуг для обеспечения государственных (муниципальных) нужд)</t>
  </si>
  <si>
    <t>Развитие системы отдыха молодых семей (Закупка товаров, работ и услуг для обеспечения государственных (муниципальных) нужд)</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</si>
  <si>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</si>
  <si>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Организация и проведение мероприятий по работе с детьми и молодежью (Закупка товаров, работ и услуг для обеспечения государственных (муниципальных) нужд)</t>
  </si>
  <si>
    <t>Организация и проведение мероприятий по работе с детьми и молодежью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</si>
  <si>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</si>
  <si>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</si>
  <si>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</si>
  <si>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</si>
  <si>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 xml:space="preserve">Проведение комплексных кадастровых работ  (Закупка товаров, работ и услуг для обеспечения государственных (муниципальных) нужд) </t>
  </si>
  <si>
    <t>Устранение социальной разобщенности инвалидов и граждан, не являющихся инвалидами  (Закупка товаров, работ и услуг для обеспечения государственных (муниципальных) нужд)</t>
  </si>
  <si>
    <t>Развитие кадрового потенциала не муниципальных служащих (Закупка товаров, работ и услуг для обеспечения государственных (муниципальных) нужд)</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</si>
  <si>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</si>
  <si>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</si>
  <si>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</si>
  <si>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</si>
  <si>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Приобретение компьютерной техники (Закупка товаров, работ и услуг для обеспечения государственных (муниципальных) нужд)</t>
  </si>
  <si>
    <t xml:space="preserve">Предоставление гражданам субсидий для оплаты первоначального взноса при получении ипотечного жилищного кредита и субсидий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 </t>
  </si>
  <si>
    <t>Основное мероприятие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</si>
  <si>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 xml:space="preserve">05 3 01 21730 </t>
  </si>
  <si>
    <t>Оценка недвижимости,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</si>
  <si>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Изготовление технических планов и технических паспортов в отношении объектов капитального строительства (Закупка товаров, работ и услуг для обеспечения государственных (муниципальных) нужд)</t>
  </si>
  <si>
    <t xml:space="preserve">Исполнение судебных актов, оплата судебных издержек по ним  (Иные бюджетные ассигнования) </t>
  </si>
  <si>
    <t xml:space="preserve">31 9 00 90040 </t>
  </si>
  <si>
    <t>Подпрограмма "Организация предоставления дополнительного образования детям"</t>
  </si>
  <si>
    <t>Основное мероприятие "Реализация программ дополнительного образования детей"</t>
  </si>
  <si>
    <t xml:space="preserve">11 1 02 21630 </t>
  </si>
  <si>
    <r>
      <t>Подпрограмма "Укрепление материально-технической базы учреждений культуры Южского муниципального района"</t>
    </r>
    <r>
      <rPr>
        <i/>
        <sz val="10"/>
        <color theme="1"/>
        <rFont val="Times New Roman"/>
        <family val="1"/>
        <charset val="204"/>
      </rPr>
      <t xml:space="preserve"> </t>
    </r>
  </si>
  <si>
    <r>
      <t>04 8 01 00380</t>
    </r>
    <r>
      <rPr>
        <i/>
        <sz val="14"/>
        <color theme="1"/>
        <rFont val="Times New Roman"/>
        <family val="1"/>
        <charset val="204"/>
      </rPr>
      <t xml:space="preserve"> </t>
    </r>
  </si>
  <si>
    <r>
      <t>Муниципальная программа Южского муниципального района "Энергоэффективность и энергосбережение в Южском муниципальном районе"</t>
    </r>
    <r>
      <rPr>
        <i/>
        <sz val="10"/>
        <color theme="1"/>
        <rFont val="Times New Roman"/>
        <family val="1"/>
        <charset val="204"/>
      </rPr>
      <t xml:space="preserve">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</si>
  <si>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</si>
  <si>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 xml:space="preserve">Муниципальная программа Южского муниципального района "Развитие инфраструктуры и улучшение жилищных условий граждан Южского муниципального района" </t>
  </si>
  <si>
    <t>Основное мероприятие "Оплата услуг по заполнению формы федерального статистического наблюдения"</t>
  </si>
  <si>
    <t>Основное мероприятие "Снос аварийных жилых домов"</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</si>
  <si>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</si>
  <si>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 xml:space="preserve">Снос аварийного жилого дома, расположенного по адресу: г. Южа, ул. Дачная, д. 9 (Закупка товаров, работ и услуг для обеспечения государственных (муниципальных) нужд) </t>
  </si>
  <si>
    <t>Основное мероприятие "Организация содержания муниципального жилищного фонда в поселениях"</t>
  </si>
  <si>
    <t>02 Д 07 00000</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</si>
  <si>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</si>
  <si>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Подпрограмма "Обеспечение безопасности населения"</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</si>
  <si>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</si>
  <si>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Организация и проведение мероприятий по работе с детьми и молодежью (Иные бюджетные ассигнования)</t>
  </si>
  <si>
    <t>02 Д 07 21750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</si>
  <si>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отлову и содержанию безнадзорных животных (Закупка товаров, работ и услуг для обеспечения государственных (муниципальных) нужд)</t>
  </si>
  <si>
    <t>31 9 00 80370</t>
  </si>
  <si>
    <t>Муниципальная программа Южского муниципального района "Профилактика терроризма и экстремизма, а также минимизация и (или) ликвидация последствий проявления терроризма и экстремизма на территории Южского муниципального района"</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</si>
  <si>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</si>
  <si>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</si>
  <si>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05 3 01 21770</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</si>
  <si>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</si>
  <si>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</si>
  <si>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Подпрограмма "Предоставление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t>
  </si>
  <si>
    <t>Основное мероприятие "Финансовая поддержка социально-ориентированным некоммерческим организациям"</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</si>
  <si>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</si>
  <si>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Муниципальная программа Южского муниципального района "Поддержка граждан (семей) в приобретении жилья в Южском муниципальном районе"</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</si>
  <si>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</si>
  <si>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 xml:space="preserve">Организация и проведение мероприятий среди молодежи (Иные бюджетные ассигнования) </t>
  </si>
  <si>
    <t>02 1 03 21780</t>
  </si>
  <si>
    <t>02 1 03 21790</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</si>
  <si>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</si>
  <si>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02 1 03 21800</t>
  </si>
  <si>
    <t xml:space="preserve">Капитальный ремонт и ремонт автомобильных дорог общего пользования местного значения в сельских поселениях (Закупка товаров, работ и услуг для обеспечения государственных (муниципальных) нужд) </t>
  </si>
  <si>
    <t>02 1 03 21810</t>
  </si>
  <si>
    <t xml:space="preserve">Капитальный ремонт и ремонт автомобильных дорог общего пользования местного значения Южского муниципального района (Закупка товаров, работ и услуг для обеспечения государственных (муниципальных) нужд)  </t>
  </si>
  <si>
    <t>02 И 01 21820</t>
  </si>
  <si>
    <t>Подпрограмма "Реализация мероприятий направленных на вовлечение населения в культурную жизнь района"</t>
  </si>
  <si>
    <t>Основное мероприятие "Проведение мероприятий направленных на содержание плотины на р.Пионерка (оз. Вазаль)"</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</si>
  <si>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</si>
  <si>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Подпрограмма "Библиотека XXI века: Создание модельной библиотеки на базе сельских библиотечных отделов МКУК "Южская МЦБ""</t>
  </si>
  <si>
    <t>Основное мероприятие "Финансовое обеспечение деятельности структурных подразделений Отдела образования администрации Южского муниципального района"</t>
  </si>
  <si>
    <r>
      <t xml:space="preserve">от </t>
    </r>
    <r>
      <rPr>
        <u/>
        <sz val="14"/>
        <rFont val="Times New Roman"/>
        <family val="1"/>
        <charset val="204"/>
      </rPr>
      <t>26.12.2016</t>
    </r>
    <r>
      <rPr>
        <sz val="14"/>
        <rFont val="Times New Roman"/>
        <family val="1"/>
        <charset val="204"/>
      </rPr>
      <t xml:space="preserve"> № </t>
    </r>
    <r>
      <rPr>
        <u/>
        <sz val="14"/>
        <rFont val="Times New Roman"/>
        <family val="1"/>
        <charset val="204"/>
      </rPr>
      <t>105</t>
    </r>
    <r>
      <rPr>
        <sz val="14"/>
        <rFont val="Times New Roman"/>
        <family val="1"/>
        <charset val="204"/>
      </rPr>
      <t xml:space="preserve">  
</t>
    </r>
  </si>
  <si>
    <t>02 1 03 10030</t>
  </si>
  <si>
    <t>02 1 03 10040</t>
  </si>
  <si>
    <t>02 Д 03 10010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</si>
  <si>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</si>
  <si>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</si>
  <si>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</si>
  <si>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автомобильных дорог и улиц в населенных пунктах сельского поселения (Межбюджетные трансферты)</t>
  </si>
  <si>
    <r>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автомобильных дорог Южского муниципального района (Межбюджетные трансферты)  </t>
    </r>
    <r>
      <rPr>
        <i/>
        <sz val="10"/>
        <color rgb="FF002060"/>
        <rFont val="Times New Roman"/>
        <family val="1"/>
        <charset val="204"/>
      </rPr>
      <t/>
    </r>
  </si>
  <si>
    <r>
      <t>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t>
    </r>
    <r>
      <rPr>
        <sz val="14"/>
        <color theme="1"/>
        <rFont val="Times New Roman"/>
        <family val="1"/>
        <charset val="204"/>
      </rPr>
      <t xml:space="preserve"> </t>
    </r>
  </si>
  <si>
    <t xml:space="preserve">Подпрограмма "Сезонная уборка территорий сельских поселений Южского муниципального района" </t>
  </si>
  <si>
    <t xml:space="preserve">Основное мероприятие "Мероприятия по содержанию территорий сельских поселений" </t>
  </si>
  <si>
    <t>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t>
  </si>
  <si>
    <t xml:space="preserve">Организация ритуальных услуг и содержание мест захоронения (Закупка товаров, работ и услуг для обеспечения государственных (муниципальных) нужд) </t>
  </si>
  <si>
    <t xml:space="preserve">Подпрограмма "Улучшение жилищных условий и выравнивание обеспеченности населения сельских поселений Южского муниципального района коммунальной инфраструктурой" </t>
  </si>
  <si>
    <t xml:space="preserve">Основное мероприятие "Организация в границах поселений водоснабжения населения" </t>
  </si>
  <si>
    <r>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 </t>
    </r>
    <r>
      <rPr>
        <i/>
        <sz val="10"/>
        <color rgb="FF002060"/>
        <rFont val="Times New Roman"/>
        <family val="1"/>
        <charset val="204"/>
      </rPr>
      <t xml:space="preserve"> </t>
    </r>
  </si>
  <si>
    <t>01 2 02 21650</t>
  </si>
  <si>
    <t xml:space="preserve">Организация питания обучающихся из многодетных семей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 </t>
  </si>
  <si>
    <t xml:space="preserve">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</si>
  <si>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Организация питания обучающихся из многодетных семей в муниципальных общеобразовательных организациях Южского муниципального района (Предоставление субсидий бюджетным, автономным учреждениям и иным некоммерческим организациям)</t>
  </si>
  <si>
    <t>30 9 00 10230</t>
  </si>
  <si>
    <t xml:space="preserve">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</si>
  <si>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31 9 00 21830</t>
  </si>
  <si>
    <t>Возмещение расходов, понесенных Департаментом дорожного хозяйства и транспорта Ивановской области, связанных с эксплуатацией и содержанием имущества Ивановской области, переданных по договору безвозмездного пользования имуществом Ивановской области № 11-11/89 от 01.11.2016г. (Иные бюджетные ассигнования)</t>
  </si>
  <si>
    <r>
      <t xml:space="preserve">Иные межбюджетные трансферты из бюджета Южского муниципального района бюджетам сельских поселений на исполнение части полномочий по решению вопросов местного значения, предусмотренных пунктами 4, 6, 22, 26, 31, 33.1, 33.2, 38 части 1 статьи 14 Федерального закона от 06.10.2003 № 131-ФЗ «Об общих принципах организации местного самоуправления в Российской Федерации» (Межбюджетные трансферты)  </t>
    </r>
    <r>
      <rPr>
        <i/>
        <sz val="10"/>
        <color rgb="FF002060"/>
        <rFont val="Times New Roman"/>
        <family val="1"/>
        <charset val="204"/>
      </rPr>
      <t/>
    </r>
  </si>
  <si>
    <t>31 9 00 10050</t>
  </si>
  <si>
    <t>"О внесении изменений и дополнений</t>
  </si>
  <si>
    <t xml:space="preserve">в Решение Совета Южского </t>
  </si>
  <si>
    <t>от 26.12.2016 № 105 "О бюджете</t>
  </si>
  <si>
    <t>Южского муниципального района</t>
  </si>
  <si>
    <t>на 2017 год и на плановый</t>
  </si>
  <si>
    <t>"Приложение № 6</t>
  </si>
  <si>
    <t>"</t>
  </si>
  <si>
    <t>02 Ж 01 21840</t>
  </si>
  <si>
    <t xml:space="preserve">Организация лодочной переправы на период весеннего половодья в 2017 году в сельских поселениях Южского муниципального района  (Закупка товаров, работ и услуг для обеспечения государственных (муниципальных) нужд) </t>
  </si>
  <si>
    <t>02 Ж 01 21850</t>
  </si>
  <si>
    <t xml:space="preserve">Мероприятия по предупреждению и устранению последствий весеннего половодья в 2017 году в сельских поселениях Южского муниципального района  (Закупка товаров, работ и услуг для обеспечения государственных (муниципальных) нужд) </t>
  </si>
  <si>
    <t>03 1 02 80340</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</si>
  <si>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</si>
  <si>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03 2 02 81430</t>
  </si>
  <si>
    <t>03 2 02 S1430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</si>
  <si>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</si>
  <si>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</si>
  <si>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31 9 00 82400</t>
  </si>
  <si>
    <t>Осуществление отдельных государственных полномочий Ивановской области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</si>
  <si>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31 9 00 81950</t>
  </si>
  <si>
    <t>31 9 00 S1950</t>
  </si>
  <si>
    <t>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t>
  </si>
  <si>
    <t>Расходы на 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t>
  </si>
  <si>
    <t>31 9 00 81980</t>
  </si>
  <si>
    <t>31 9 00 S1980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</si>
  <si>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</si>
  <si>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Расходы на 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</si>
  <si>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12 1 01 R0200</t>
  </si>
  <si>
    <t>Основное мероприятие "Укрепление материально-технической базы общеобразовательных организаций Южского муниципального района"</t>
  </si>
  <si>
    <t>01 2 03 00000</t>
  </si>
  <si>
    <t>Проведение спортивно-оздоровительных и спортивно-массовых мероприятий среди населения района (Иные бюджетные ассигнования)</t>
  </si>
  <si>
    <t>Подпрограмма "Поддержка инвалидов и ветеранов Великой Отечественной войны, не имеющих оснований для обеспечения жильем, в соответствии с Федеральным законом от 12.01.1995 № 5-ФЗ "О ветеранах""</t>
  </si>
  <si>
    <t>07 6 00 00000</t>
  </si>
  <si>
    <t>07 6 01 00000</t>
  </si>
  <si>
    <t>07 6 01 21870</t>
  </si>
  <si>
    <t>07 6 01 21880</t>
  </si>
  <si>
    <t>08 2 01 82910</t>
  </si>
  <si>
    <t>08 2 01 S2910</t>
  </si>
  <si>
    <t xml:space="preserve">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</si>
  <si>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</si>
  <si>
    <t>12 2 01 80280</t>
  </si>
  <si>
    <t xml:space="preserve">Предоставление субсидий гражданам на оплату первоначального взноса при получении ипотечного жилищного кредита или на погашение основной суммы долга на уплату процентов по ипотечному жилищному кредиту (в том числе рефинансированному) (Социальное обеспечение и иные выплаты населению) </t>
  </si>
  <si>
    <t>Проведение ремонта жилых помещений, в которых проживают инвалиды и ветераны Великой Отечественной войны, не имеющие оснований для обеспечения жильем  (Социальное обеспечение и иные выплаты населению)</t>
  </si>
  <si>
    <t>Проведение замены (приобретения) бытового и сантехнического оборудования в жилых помещениях, занимаемых инвалидами и ветеранами Великой Отечественной войны (Социальное обеспечение и иные выплаты населению)</t>
  </si>
  <si>
    <t xml:space="preserve">Торжественное мероприятие, посвященное 72-годовщине Великой Отечественной войны  (Закупка товаров, работ и услуг для обеспечения государственных (муниципальных) нужд) </t>
  </si>
  <si>
    <t>03 Д 01 21890</t>
  </si>
  <si>
    <t xml:space="preserve">Праздничное мероприятие, приуроченное ко Дню пожилого человека (Закупка товаров, работ и услуг для обеспечения государственных (муниципальных) нужд) </t>
  </si>
  <si>
    <t>03 Д 01 21900</t>
  </si>
  <si>
    <t>31 9 00 10060</t>
  </si>
  <si>
    <t>Мероприятия по обеспечению безопасности людей на водных объектах, охране их жизни и здоровья (Межбюджетные трансферты)</t>
  </si>
  <si>
    <t>05 4 01 82500</t>
  </si>
  <si>
    <t>05 4 01 S2500</t>
  </si>
  <si>
    <t xml:space="preserve">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обеспечения государственных (муниципальных) нужд)   </t>
  </si>
  <si>
    <t>03 3 01 R5191</t>
  </si>
  <si>
    <t>03 3 01 L5191</t>
  </si>
  <si>
    <t>Комплектование книжных фондов библиотек муниципальных образований (Закупка товаров, работ и услуг для обеспечения государственных (муниципальных) нужд)</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</si>
  <si>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</si>
  <si>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04 2 02 21910</t>
  </si>
  <si>
    <t xml:space="preserve">02 7 01 21920 </t>
  </si>
  <si>
    <t xml:space="preserve">Рекультивация свалки, расположенной на землях Талицкого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</si>
  <si>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период 2018 и 2019 годов""</t>
  </si>
  <si>
    <t>Создание условий для инклюзивного образования детей дошкольного возраста в образовательных организациях  (Закупка товаров, работ и услуг для обеспечения государственных (муниципальных) нужд)</t>
  </si>
  <si>
    <t>Приобретение учебников для осуществления образовательной деятельности по основным общеобразовательным программам образовательными учреждениями Южского муниципального района (Закупка товаров, работ и услуг для обеспечения государственных (муниципальных) нужд)</t>
  </si>
  <si>
    <t xml:space="preserve">Приобретение учебников для осуществления образовательной деятельности по основным общеобразовательным программам образовательными учреждениями Южского муниципального района (Предоставление субсидий бюджетным, автономным учреждениям и иным некоммерческим организациям) </t>
  </si>
  <si>
    <t>31 9 00 21390</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</si>
  <si>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</si>
  <si>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02 Д 03 21940</t>
  </si>
  <si>
    <t xml:space="preserve">Разработка проектно-сметной документации на капитальный ремонт помещений муниципального казённого дошкольного образовательного учреждения Мугреевский детский сад для размещения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</si>
  <si>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01 2 03 21950</t>
  </si>
  <si>
    <t xml:space="preserve">Проведение спортивно-оздоровительных и спортивно-массовых мероприятий среди населения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</si>
  <si>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Разработка карт (планов) объектов землеустройства  (Закупка товаров, работ и услуг для обеспечения государственных (муниципальных) нужд) </t>
  </si>
  <si>
    <t>05 2 01 21960</t>
  </si>
  <si>
    <t>07 1 02 21970</t>
  </si>
  <si>
    <t>Обеспечение доступности услуг в сфере образования для детей-инвалидов (Предоставление субсидий бюджетным, автономным учреждениям и иным некоммерческим организациям)</t>
  </si>
  <si>
    <t xml:space="preserve">Основное мероприятие "Мероприятия по проведению ремонта жилых помещений, в которых проживают инвалиды и ветераны Великой Отечественной войны или замена (приобретение) бытового и сантехнического оборудования в помещениях, занимаемых инвалидами и ветеранами Великой Отечественной войны" </t>
  </si>
  <si>
    <t>02 Д 07 21980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</si>
  <si>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</si>
  <si>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Обеспечение доступности услуг в сфере образования для детей-инвалидов  (Закупка товаров, работ и услуг для обеспечения государственных (муниципальных) нужд)</t>
  </si>
  <si>
    <t xml:space="preserve">Проведение экспертизы проектно-сметной документации на капитальный ремонт помещений муниципального казённого дошкольного образовательного учреждения Мугреевский детский сад для размещения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</si>
  <si>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01 2 03 22020</t>
  </si>
  <si>
    <t>01 9 00 00000</t>
  </si>
  <si>
    <t>01 9 01 00000</t>
  </si>
  <si>
    <t>01 9 01 S2700</t>
  </si>
  <si>
    <t>Основное мероприятие "Развитие кадрового потенциала системы образования"</t>
  </si>
  <si>
    <t>Подпрограмма "Организация целевой подготовки педагогов для работы в муниципальных образовательных организациях Южского муниципального района Ивановской области"</t>
  </si>
  <si>
    <t>Муниципальная программа Южского муниципального района "Содействие в реализации прав граждан на безопасный и здоровый труд"</t>
  </si>
  <si>
    <t>13 0 00 00000</t>
  </si>
  <si>
    <t>Подпрограмма "Улучшение условий и охраны труда в муниципальных учреждениях Южского муниципального района"</t>
  </si>
  <si>
    <t>13 1 00 00000</t>
  </si>
  <si>
    <t>13 1 01 00000</t>
  </si>
  <si>
    <t>Основное мероприятие "Совершенствование охраны труда в муниципальных учреждениях"</t>
  </si>
  <si>
    <t xml:space="preserve">13 1 01 21990 </t>
  </si>
  <si>
    <t xml:space="preserve">Проведение специальной оценки условий труда  (Закупка товаров, работ и услуг для обеспечения государственных (муниципальных) нужд) </t>
  </si>
  <si>
    <t xml:space="preserve">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 </t>
  </si>
  <si>
    <t xml:space="preserve">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 </t>
  </si>
  <si>
    <t>13 1 01 22000</t>
  </si>
  <si>
    <t>13 1 01 22010</t>
  </si>
  <si>
    <t xml:space="preserve">Софинансирование расходов на организацию целевой подготовки педагогов для работы в муниципальных образовательных организациях Южского муниципального района Ивановской области  (Закупка товаров, работ и услуг для обеспечения государственных (муниципальных) нужд) </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</si>
  <si>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</si>
  <si>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31 9 00 20970</t>
  </si>
  <si>
    <t>31 9 00 20980</t>
  </si>
  <si>
    <t xml:space="preserve">Средства на организацию приобретения новогодних подарков детям, родители которых работают в муниципальных учреждениях Южского муниципального района  (Закупка товаров, работ и услуг для государственных (муниципальных) нужд) </t>
  </si>
  <si>
    <t>Средства на организацию приобретения новогодних подарков детям из многодетных семей (Закупка товаров, работ и услуг для государственных (муниципальных) нужд)</t>
  </si>
  <si>
    <t xml:space="preserve">Организация новогодних мероприятий учреждениями дополнительного образования в сфере культуры (Предоставление субсидий бюджетным, автономным учреждениям и иным некоммерческим организациям) </t>
  </si>
  <si>
    <t>01 5 01 22040</t>
  </si>
  <si>
    <t>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t>
  </si>
  <si>
    <t>31 9 00 22050</t>
  </si>
  <si>
    <t>Приложение № 1</t>
  </si>
  <si>
    <t>Софинансирование расходов на организацию целевой подготовки педагогов для работы в муниципальных образовательных организациях Южского муниципального района Ивановской области  (Предоставление субсидий бюджетным, автономным учреждениям и иным некоммерческим организациям)</t>
  </si>
  <si>
    <t>от 15.12.2017 № 126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</si>
</sst>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_р_."/>
  </numFmts>
  <fonts count="14" x14ac:knownFonts="1">
    <font>
      <sz val="11"/>
      <color theme="1"/>
      <name val="Calibri"/>
      <family val="2"/>
      <charset val="204"/>
      <scheme val="minor"/>
    </font>
    <font>
      <b/>
      <sz val="14"/>
      <name val="Times New Roman"/>
      <family val="1"/>
      <charset val="204"/>
    </font>
    <font>
      <sz val="14"/>
      <name val="Times New Roman"/>
      <family val="1"/>
      <charset val="204"/>
    </font>
    <font>
      <i/>
      <sz val="14"/>
      <name val="Times New Roman"/>
      <family val="1"/>
      <charset val="204"/>
    </font>
    <font>
      <sz val="10"/>
      <name val="Times New Roman"/>
      <family val="1"/>
      <charset val="204"/>
    </font>
    <font>
      <u/>
      <sz val="14"/>
      <name val="Times New Roman"/>
      <family val="1"/>
      <charset val="204"/>
    </font>
    <font>
      <i/>
      <sz val="10"/>
      <color rgb="FF002060"/>
      <name val="Times New Roman"/>
      <family val="1"/>
      <charset val="204"/>
    </font>
    <font>
      <i/>
      <sz val="10"/>
      <name val="Times New Roman"/>
      <family val="1"/>
      <charset val="204"/>
    </font>
    <font>
      <b/>
      <sz val="14"/>
      <color theme="1"/>
      <name val="Times New Roman"/>
      <family val="1"/>
      <charset val="204"/>
    </font>
    <font>
      <i/>
      <sz val="14"/>
      <color theme="1"/>
      <name val="Times New Roman"/>
      <family val="1"/>
      <charset val="204"/>
    </font>
    <font>
      <sz val="14"/>
      <color theme="1"/>
      <name val="Times New Roman"/>
      <family val="1"/>
      <charset val="204"/>
    </font>
    <font>
      <i/>
      <sz val="10"/>
      <color theme="1"/>
      <name val="Times New Roman"/>
      <family val="1"/>
      <charset val="204"/>
    </font>
    <font>
      <sz val="14"/>
      <color rgb="FF000000"/>
      <name val="Times New Roman"/>
      <family val="1"/>
      <charset val="204"/>
    </font>
    <font>
      <sz val="14"/>
      <color rgb="FFFF0000"/>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65">
    <xf numFmtId="0" fontId="0" fillId="0" borderId="0" xfId="0"/>
    <xf numFmtId="0" fontId="2" fillId="0" borderId="0" xfId="0" applyFont="1" applyFill="1"/>
    <xf numFmtId="0" fontId="2" fillId="0" borderId="0" xfId="0" applyFont="1" applyFill="1" applyAlignment="1">
      <alignment horizontal="center" vertical="center"/>
    </xf>
    <xf numFmtId="164" fontId="2" fillId="0" borderId="0" xfId="0" applyNumberFormat="1" applyFont="1" applyFill="1" applyAlignment="1">
      <alignment horizontal="center" vertical="center"/>
    </xf>
    <xf numFmtId="0" fontId="3" fillId="0" borderId="0" xfId="0" applyFont="1" applyFill="1"/>
    <xf numFmtId="0" fontId="1" fillId="0" borderId="0" xfId="0" applyFont="1" applyFill="1"/>
    <xf numFmtId="0" fontId="2" fillId="0" borderId="0" xfId="0" applyFont="1" applyFill="1" applyAlignment="1">
      <alignment vertical="top"/>
    </xf>
    <xf numFmtId="0" fontId="2" fillId="0" borderId="0" xfId="0" applyFont="1" applyFill="1" applyAlignment="1">
      <alignment horizontal="center" vertical="top"/>
    </xf>
    <xf numFmtId="4" fontId="2" fillId="0" borderId="0" xfId="0" applyNumberFormat="1" applyFont="1" applyFill="1" applyAlignment="1">
      <alignment horizontal="right" vertical="top"/>
    </xf>
    <xf numFmtId="164" fontId="2" fillId="0" borderId="0" xfId="0" applyNumberFormat="1" applyFont="1" applyFill="1" applyAlignment="1">
      <alignment horizontal="center" vertical="top"/>
    </xf>
    <xf numFmtId="49" fontId="2" fillId="0" borderId="0" xfId="0" applyNumberFormat="1" applyFont="1" applyFill="1"/>
    <xf numFmtId="49" fontId="1" fillId="0" borderId="0" xfId="0" applyNumberFormat="1" applyFont="1" applyFill="1"/>
    <xf numFmtId="49" fontId="3" fillId="0" borderId="0" xfId="0" applyNumberFormat="1" applyFont="1" applyFill="1"/>
    <xf numFmtId="4" fontId="1" fillId="0" borderId="0" xfId="0" applyNumberFormat="1" applyFont="1" applyFill="1" applyAlignment="1">
      <alignment horizontal="right" vertical="top"/>
    </xf>
    <xf numFmtId="0" fontId="4" fillId="0" borderId="0" xfId="0" applyFont="1" applyFill="1" applyAlignment="1">
      <alignment horizontal="right"/>
    </xf>
    <xf numFmtId="4" fontId="1" fillId="0" borderId="0" xfId="0" applyNumberFormat="1" applyFont="1" applyFill="1"/>
    <xf numFmtId="4" fontId="2" fillId="0" borderId="0" xfId="0" applyNumberFormat="1" applyFont="1" applyFill="1"/>
    <xf numFmtId="2" fontId="3" fillId="0" borderId="0" xfId="0" applyNumberFormat="1" applyFont="1" applyFill="1"/>
    <xf numFmtId="2" fontId="2" fillId="0" borderId="0" xfId="0" applyNumberFormat="1" applyFont="1" applyFill="1"/>
    <xf numFmtId="2" fontId="1" fillId="0" borderId="0" xfId="0" applyNumberFormat="1" applyFont="1" applyFill="1"/>
    <xf numFmtId="165" fontId="3" fillId="0" borderId="0" xfId="0" applyNumberFormat="1" applyFont="1" applyFill="1"/>
    <xf numFmtId="0" fontId="2" fillId="0" borderId="0" xfId="0" applyFont="1" applyFill="1" applyAlignment="1">
      <alignment wrapText="1"/>
    </xf>
    <xf numFmtId="0" fontId="13" fillId="0" borderId="0" xfId="0" applyFont="1" applyFill="1"/>
    <xf numFmtId="164" fontId="2" fillId="0" borderId="0" xfId="0" applyNumberFormat="1" applyFont="1" applyFill="1" applyAlignment="1">
      <alignment horizontal="right" vertical="center"/>
    </xf>
    <xf numFmtId="0" fontId="8" fillId="2" borderId="1" xfId="0" applyFont="1" applyFill="1" applyBorder="1" applyAlignment="1">
      <alignment horizontal="center" vertical="center"/>
    </xf>
    <xf numFmtId="0" fontId="8" fillId="2" borderId="1" xfId="0" applyFont="1" applyFill="1" applyBorder="1" applyAlignment="1">
      <alignment horizontal="justify" vertical="top"/>
    </xf>
    <xf numFmtId="0" fontId="1" fillId="2" borderId="1" xfId="0" applyFont="1" applyFill="1" applyBorder="1" applyAlignment="1">
      <alignment horizontal="center" vertical="center"/>
    </xf>
    <xf numFmtId="4" fontId="1" fillId="2" borderId="1" xfId="0" applyNumberFormat="1" applyFont="1" applyFill="1" applyBorder="1" applyAlignment="1">
      <alignment horizontal="right" vertical="center"/>
    </xf>
    <xf numFmtId="0" fontId="9" fillId="2" borderId="1" xfId="0" applyFont="1" applyFill="1" applyBorder="1" applyAlignment="1">
      <alignment horizontal="justify" vertical="top"/>
    </xf>
    <xf numFmtId="0" fontId="9" fillId="2" borderId="1" xfId="0" applyFont="1" applyFill="1" applyBorder="1" applyAlignment="1">
      <alignment horizontal="center" vertical="center"/>
    </xf>
    <xf numFmtId="0" fontId="3" fillId="2" borderId="1" xfId="0" applyFont="1" applyFill="1" applyBorder="1" applyAlignment="1">
      <alignment horizontal="center" vertical="center"/>
    </xf>
    <xf numFmtId="4" fontId="3" fillId="2" borderId="1" xfId="0" applyNumberFormat="1" applyFont="1" applyFill="1" applyBorder="1" applyAlignment="1">
      <alignment horizontal="right" vertical="center"/>
    </xf>
    <xf numFmtId="0" fontId="10" fillId="2" borderId="1" xfId="0" applyFont="1" applyFill="1" applyBorder="1" applyAlignment="1">
      <alignment horizontal="justify" vertical="top"/>
    </xf>
    <xf numFmtId="0" fontId="10" fillId="2" borderId="1" xfId="0" applyFont="1" applyFill="1" applyBorder="1" applyAlignment="1">
      <alignment horizontal="center" vertical="center"/>
    </xf>
    <xf numFmtId="0" fontId="2" fillId="2" borderId="1" xfId="0" applyFont="1" applyFill="1" applyBorder="1" applyAlignment="1">
      <alignment horizontal="center" vertical="center"/>
    </xf>
    <xf numFmtId="4" fontId="2" fillId="2" borderId="1" xfId="0" applyNumberFormat="1" applyFont="1" applyFill="1" applyBorder="1" applyAlignment="1">
      <alignment horizontal="right" vertical="center"/>
    </xf>
    <xf numFmtId="0" fontId="10" fillId="2" borderId="1" xfId="0" applyFont="1" applyFill="1" applyBorder="1" applyAlignment="1">
      <alignment horizontal="justify" vertical="top" wrapText="1"/>
    </xf>
    <xf numFmtId="0" fontId="2" fillId="2" borderId="1" xfId="0" applyFont="1" applyFill="1" applyBorder="1" applyAlignment="1">
      <alignment horizontal="justify" vertical="top" wrapText="1"/>
    </xf>
    <xf numFmtId="0" fontId="3" fillId="2" borderId="1" xfId="0" applyFont="1" applyFill="1" applyBorder="1" applyAlignment="1">
      <alignment horizontal="justify" vertical="top" wrapText="1"/>
    </xf>
    <xf numFmtId="0" fontId="8" fillId="2" borderId="1" xfId="0" applyFont="1" applyFill="1" applyBorder="1" applyAlignment="1">
      <alignment horizontal="left" vertical="top" wrapText="1"/>
    </xf>
    <xf numFmtId="0" fontId="9" fillId="2" borderId="1" xfId="0" applyFont="1" applyFill="1" applyBorder="1" applyAlignment="1">
      <alignment horizontal="justify" vertical="top" wrapText="1"/>
    </xf>
    <xf numFmtId="49" fontId="10" fillId="2" borderId="1" xfId="0" applyNumberFormat="1" applyFont="1" applyFill="1" applyBorder="1" applyAlignment="1">
      <alignment horizontal="center" vertical="center"/>
    </xf>
    <xf numFmtId="0" fontId="8" fillId="2" borderId="1" xfId="0" applyFont="1" applyFill="1" applyBorder="1" applyAlignment="1">
      <alignment horizontal="justify" vertical="top" wrapText="1"/>
    </xf>
    <xf numFmtId="0" fontId="9" fillId="2" borderId="1" xfId="0" applyFont="1" applyFill="1" applyBorder="1" applyAlignment="1">
      <alignment horizontal="justify" vertical="center"/>
    </xf>
    <xf numFmtId="4" fontId="9" fillId="2" borderId="1" xfId="0" applyNumberFormat="1" applyFont="1" applyFill="1" applyBorder="1" applyAlignment="1">
      <alignment horizontal="justify" vertical="top" wrapText="1"/>
    </xf>
    <xf numFmtId="0" fontId="9" fillId="2" borderId="1" xfId="0" applyFont="1" applyFill="1" applyBorder="1" applyAlignment="1">
      <alignment vertical="top"/>
    </xf>
    <xf numFmtId="0" fontId="8" fillId="2" borderId="1" xfId="0" applyNumberFormat="1" applyFont="1" applyFill="1" applyBorder="1" applyAlignment="1">
      <alignment horizontal="justify" vertical="top" wrapText="1"/>
    </xf>
    <xf numFmtId="0" fontId="2" fillId="2" borderId="1" xfId="0" applyFont="1" applyFill="1" applyBorder="1" applyAlignment="1">
      <alignment horizontal="justify" vertical="top"/>
    </xf>
    <xf numFmtId="0" fontId="12" fillId="2" borderId="1" xfId="0" applyFont="1" applyFill="1" applyBorder="1" applyAlignment="1">
      <alignment horizontal="justify" vertical="top" wrapText="1"/>
    </xf>
    <xf numFmtId="2" fontId="10" fillId="2" borderId="1" xfId="0" applyNumberFormat="1" applyFont="1" applyFill="1" applyBorder="1" applyAlignment="1">
      <alignment horizontal="justify" vertical="top" wrapText="1"/>
    </xf>
    <xf numFmtId="0" fontId="2" fillId="2" borderId="0" xfId="0" applyFont="1" applyFill="1"/>
    <xf numFmtId="0" fontId="2" fillId="2" borderId="0" xfId="0" applyFont="1" applyFill="1" applyAlignment="1">
      <alignment horizontal="center" vertical="center"/>
    </xf>
    <xf numFmtId="164" fontId="2" fillId="2" borderId="0" xfId="0" applyNumberFormat="1" applyFont="1" applyFill="1" applyAlignment="1">
      <alignment horizontal="center" vertical="center"/>
    </xf>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xf>
    <xf numFmtId="0" fontId="2" fillId="2" borderId="0" xfId="0" applyFont="1" applyFill="1" applyAlignment="1">
      <alignment horizontal="right"/>
    </xf>
    <xf numFmtId="0" fontId="8" fillId="2" borderId="0" xfId="0" applyFont="1" applyFill="1" applyAlignment="1">
      <alignment horizontal="justify" vertical="top" wrapText="1"/>
    </xf>
    <xf numFmtId="0" fontId="2" fillId="2" borderId="0" xfId="0" applyFont="1" applyFill="1" applyAlignment="1">
      <alignment horizontal="right"/>
    </xf>
    <xf numFmtId="0" fontId="5" fillId="2" borderId="0" xfId="0" applyFont="1" applyFill="1" applyAlignment="1">
      <alignment horizontal="right"/>
    </xf>
    <xf numFmtId="0" fontId="2" fillId="2" borderId="0" xfId="0" applyFont="1" applyFill="1" applyAlignment="1">
      <alignment horizontal="right" vertical="center"/>
    </xf>
    <xf numFmtId="0" fontId="1" fillId="2" borderId="1" xfId="0" applyFont="1" applyFill="1" applyBorder="1" applyAlignment="1">
      <alignment horizontal="left" vertical="center" wrapText="1"/>
    </xf>
    <xf numFmtId="0" fontId="6" fillId="2" borderId="2" xfId="0" applyFont="1" applyFill="1" applyBorder="1" applyAlignment="1">
      <alignment horizontal="center" vertical="top" wrapText="1"/>
    </xf>
    <xf numFmtId="0" fontId="1" fillId="2" borderId="0" xfId="0" applyFont="1" applyFill="1" applyAlignment="1">
      <alignment horizontal="center" vertical="top" wrapText="1"/>
    </xf>
    <xf numFmtId="0" fontId="2" fillId="2" borderId="0" xfId="0" applyFont="1" applyFill="1" applyAlignment="1">
      <alignment horizontal="right"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7"/>
  <sheetViews>
    <sheetView tabSelected="1" zoomScale="90" zoomScaleNormal="90" workbookViewId="0">
      <selection activeCell="B11" sqref="B11:D11"/>
    </sheetView>
  </sheetViews>
  <sheetFormatPr defaultRowHeight="18.75" x14ac:dyDescent="0.3"/>
  <cols>
    <col min="1" max="1" width="62.5703125" style="1" customWidth="1"/>
    <col min="2" max="2" width="18.7109375" style="1" customWidth="1"/>
    <col min="3" max="3" width="8.85546875" style="2" customWidth="1"/>
    <col min="4" max="4" width="20.85546875" style="3" customWidth="1"/>
    <col min="5" max="5" width="16.42578125" style="1" bestFit="1" customWidth="1"/>
    <col min="6" max="6" width="23.42578125" style="10" customWidth="1"/>
    <col min="7" max="7" width="16" style="1" bestFit="1" customWidth="1"/>
    <col min="8" max="8" width="19.5703125" style="1" bestFit="1" customWidth="1"/>
    <col min="9" max="9" width="16" style="1" bestFit="1" customWidth="1"/>
    <col min="10" max="16384" width="9.140625" style="1"/>
  </cols>
  <sheetData>
    <row r="1" spans="1:4" x14ac:dyDescent="0.3">
      <c r="A1" s="50"/>
      <c r="B1" s="58" t="s">
        <v>609</v>
      </c>
      <c r="C1" s="58"/>
      <c r="D1" s="58"/>
    </row>
    <row r="2" spans="1:4" x14ac:dyDescent="0.3">
      <c r="A2" s="50"/>
      <c r="B2" s="58" t="s">
        <v>171</v>
      </c>
      <c r="C2" s="58"/>
      <c r="D2" s="58"/>
    </row>
    <row r="3" spans="1:4" x14ac:dyDescent="0.3">
      <c r="A3" s="50"/>
      <c r="B3" s="58" t="s">
        <v>172</v>
      </c>
      <c r="C3" s="58"/>
      <c r="D3" s="58"/>
    </row>
    <row r="4" spans="1:4" x14ac:dyDescent="0.3">
      <c r="A4" s="50"/>
      <c r="B4" s="58" t="s">
        <v>502</v>
      </c>
      <c r="C4" s="58"/>
      <c r="D4" s="58"/>
    </row>
    <row r="5" spans="1:4" x14ac:dyDescent="0.3">
      <c r="A5" s="50"/>
      <c r="B5" s="58" t="s">
        <v>503</v>
      </c>
      <c r="C5" s="58"/>
      <c r="D5" s="58"/>
    </row>
    <row r="6" spans="1:4" x14ac:dyDescent="0.3">
      <c r="A6" s="50"/>
      <c r="B6" s="58" t="s">
        <v>172</v>
      </c>
      <c r="C6" s="58"/>
      <c r="D6" s="58"/>
    </row>
    <row r="7" spans="1:4" x14ac:dyDescent="0.3">
      <c r="A7" s="50"/>
      <c r="B7" s="58" t="s">
        <v>504</v>
      </c>
      <c r="C7" s="58"/>
      <c r="D7" s="58"/>
    </row>
    <row r="8" spans="1:4" x14ac:dyDescent="0.3">
      <c r="A8" s="50"/>
      <c r="B8" s="58" t="s">
        <v>505</v>
      </c>
      <c r="C8" s="58"/>
      <c r="D8" s="58"/>
    </row>
    <row r="9" spans="1:4" x14ac:dyDescent="0.3">
      <c r="A9" s="50"/>
      <c r="B9" s="58" t="s">
        <v>506</v>
      </c>
      <c r="C9" s="58"/>
      <c r="D9" s="58"/>
    </row>
    <row r="10" spans="1:4" x14ac:dyDescent="0.3">
      <c r="A10" s="50"/>
      <c r="B10" s="58" t="s">
        <v>562</v>
      </c>
      <c r="C10" s="58"/>
      <c r="D10" s="58"/>
    </row>
    <row r="11" spans="1:4" x14ac:dyDescent="0.3">
      <c r="A11" s="50"/>
      <c r="B11" s="59" t="s">
        <v>611</v>
      </c>
      <c r="C11" s="59"/>
      <c r="D11" s="59"/>
    </row>
    <row r="12" spans="1:4" x14ac:dyDescent="0.3">
      <c r="A12" s="50"/>
      <c r="B12" s="50"/>
      <c r="C12" s="51"/>
      <c r="D12" s="52"/>
    </row>
    <row r="13" spans="1:4" ht="18" customHeight="1" x14ac:dyDescent="0.3">
      <c r="A13" s="50"/>
      <c r="B13" s="60" t="s">
        <v>507</v>
      </c>
      <c r="C13" s="60"/>
      <c r="D13" s="60"/>
    </row>
    <row r="14" spans="1:4" x14ac:dyDescent="0.3">
      <c r="A14" s="50"/>
      <c r="B14" s="60" t="s">
        <v>171</v>
      </c>
      <c r="C14" s="60"/>
      <c r="D14" s="60"/>
    </row>
    <row r="15" spans="1:4" x14ac:dyDescent="0.3">
      <c r="A15" s="50"/>
      <c r="B15" s="60" t="s">
        <v>172</v>
      </c>
      <c r="C15" s="60"/>
      <c r="D15" s="60"/>
    </row>
    <row r="16" spans="1:4" x14ac:dyDescent="0.3">
      <c r="A16" s="50"/>
      <c r="B16" s="58" t="s">
        <v>173</v>
      </c>
      <c r="C16" s="58"/>
      <c r="D16" s="58"/>
    </row>
    <row r="17" spans="1:6" x14ac:dyDescent="0.3">
      <c r="A17" s="50"/>
      <c r="B17" s="58" t="s">
        <v>174</v>
      </c>
      <c r="C17" s="58"/>
      <c r="D17" s="58"/>
    </row>
    <row r="18" spans="1:6" x14ac:dyDescent="0.3">
      <c r="A18" s="50"/>
      <c r="B18" s="56"/>
      <c r="C18" s="56"/>
      <c r="D18" s="56" t="s">
        <v>235</v>
      </c>
    </row>
    <row r="19" spans="1:6" x14ac:dyDescent="0.3">
      <c r="A19" s="50"/>
      <c r="B19" s="58" t="s">
        <v>234</v>
      </c>
      <c r="C19" s="58"/>
      <c r="D19" s="58"/>
    </row>
    <row r="20" spans="1:6" x14ac:dyDescent="0.3">
      <c r="A20" s="50"/>
      <c r="B20" s="64" t="s">
        <v>475</v>
      </c>
      <c r="C20" s="58"/>
      <c r="D20" s="58"/>
    </row>
    <row r="21" spans="1:6" ht="14.25" customHeight="1" x14ac:dyDescent="0.3">
      <c r="A21" s="50"/>
      <c r="B21" s="50"/>
      <c r="C21" s="60"/>
      <c r="D21" s="60"/>
    </row>
    <row r="22" spans="1:6" ht="141.75" customHeight="1" x14ac:dyDescent="0.3">
      <c r="A22" s="63" t="s">
        <v>309</v>
      </c>
      <c r="B22" s="63"/>
      <c r="C22" s="63"/>
      <c r="D22" s="63"/>
    </row>
    <row r="23" spans="1:6" ht="18.75" customHeight="1" x14ac:dyDescent="0.3">
      <c r="A23" s="62"/>
      <c r="B23" s="62"/>
      <c r="C23" s="62"/>
      <c r="D23" s="62"/>
    </row>
    <row r="24" spans="1:6" ht="56.25" customHeight="1" x14ac:dyDescent="0.3">
      <c r="A24" s="53" t="s">
        <v>167</v>
      </c>
      <c r="B24" s="53" t="s">
        <v>168</v>
      </c>
      <c r="C24" s="53" t="s">
        <v>169</v>
      </c>
      <c r="D24" s="54" t="s">
        <v>170</v>
      </c>
    </row>
    <row r="25" spans="1:6" ht="21" customHeight="1" x14ac:dyDescent="0.3">
      <c r="A25" s="55">
        <v>1</v>
      </c>
      <c r="B25" s="55">
        <v>2</v>
      </c>
      <c r="C25" s="55">
        <v>3</v>
      </c>
      <c r="D25" s="55">
        <v>4</v>
      </c>
    </row>
    <row r="26" spans="1:6" s="5" customFormat="1" ht="66.75" customHeight="1" x14ac:dyDescent="0.3">
      <c r="A26" s="25" t="s">
        <v>236</v>
      </c>
      <c r="B26" s="24" t="s">
        <v>0</v>
      </c>
      <c r="C26" s="26"/>
      <c r="D26" s="27">
        <f>D27+D44+D62+D66+D74+D81+D85+D89+D94</f>
        <v>185985609.26000002</v>
      </c>
      <c r="F26" s="11"/>
    </row>
    <row r="27" spans="1:6" s="5" customFormat="1" ht="105" customHeight="1" x14ac:dyDescent="0.3">
      <c r="A27" s="25" t="s">
        <v>237</v>
      </c>
      <c r="B27" s="24" t="s">
        <v>1</v>
      </c>
      <c r="C27" s="26"/>
      <c r="D27" s="27">
        <f>D28+D37+D40</f>
        <v>65713699.880000003</v>
      </c>
      <c r="F27" s="11"/>
    </row>
    <row r="28" spans="1:6" s="4" customFormat="1" ht="37.5" x14ac:dyDescent="0.3">
      <c r="A28" s="28" t="s">
        <v>238</v>
      </c>
      <c r="B28" s="29" t="s">
        <v>2</v>
      </c>
      <c r="C28" s="30"/>
      <c r="D28" s="31">
        <f>SUM(D29:D36)</f>
        <v>63094796.75</v>
      </c>
      <c r="F28" s="12"/>
    </row>
    <row r="29" spans="1:6" ht="165" customHeight="1" x14ac:dyDescent="0.3">
      <c r="A29" s="32" t="s">
        <v>239</v>
      </c>
      <c r="B29" s="33" t="s">
        <v>3</v>
      </c>
      <c r="C29" s="34">
        <v>100</v>
      </c>
      <c r="D29" s="35">
        <f>4862920-172000+390624.88+18000-259100-18000+2000</f>
        <v>4824444.88</v>
      </c>
    </row>
    <row r="30" spans="1:6" ht="132" customHeight="1" x14ac:dyDescent="0.3">
      <c r="A30" s="36" t="s">
        <v>240</v>
      </c>
      <c r="B30" s="33" t="s">
        <v>3</v>
      </c>
      <c r="C30" s="34">
        <v>200</v>
      </c>
      <c r="D30" s="35">
        <f>4181100+39655+321299.62+151475+28100-13000+18000+19531+13000</f>
        <v>4759160.62</v>
      </c>
    </row>
    <row r="31" spans="1:6" ht="133.5" customHeight="1" x14ac:dyDescent="0.3">
      <c r="A31" s="32" t="s">
        <v>241</v>
      </c>
      <c r="B31" s="33" t="s">
        <v>3</v>
      </c>
      <c r="C31" s="34">
        <v>600</v>
      </c>
      <c r="D31" s="35">
        <f>28704900-560000-300000+2138157.2+347516.05+181535+97665+134416-246643+30100+199943</f>
        <v>30727589.25</v>
      </c>
    </row>
    <row r="32" spans="1:6" ht="99" customHeight="1" x14ac:dyDescent="0.3">
      <c r="A32" s="32" t="s">
        <v>178</v>
      </c>
      <c r="B32" s="33" t="s">
        <v>3</v>
      </c>
      <c r="C32" s="34">
        <v>800</v>
      </c>
      <c r="D32" s="35">
        <f>93000-35000-21531</f>
        <v>36469</v>
      </c>
    </row>
    <row r="33" spans="1:6" ht="99" customHeight="1" x14ac:dyDescent="0.3">
      <c r="A33" s="32" t="s">
        <v>563</v>
      </c>
      <c r="B33" s="33" t="s">
        <v>4</v>
      </c>
      <c r="C33" s="34">
        <v>200</v>
      </c>
      <c r="D33" s="35">
        <v>70575</v>
      </c>
    </row>
    <row r="34" spans="1:6" ht="307.5" customHeight="1" x14ac:dyDescent="0.3">
      <c r="A34" s="32" t="s">
        <v>222</v>
      </c>
      <c r="B34" s="33" t="s">
        <v>5</v>
      </c>
      <c r="C34" s="34">
        <v>100</v>
      </c>
      <c r="D34" s="35">
        <f>2271916+193740</f>
        <v>2465656</v>
      </c>
    </row>
    <row r="35" spans="1:6" ht="252.75" customHeight="1" x14ac:dyDescent="0.3">
      <c r="A35" s="32" t="s">
        <v>223</v>
      </c>
      <c r="B35" s="33" t="s">
        <v>5</v>
      </c>
      <c r="C35" s="34">
        <v>200</v>
      </c>
      <c r="D35" s="35">
        <v>17490</v>
      </c>
    </row>
    <row r="36" spans="1:6" ht="251.25" customHeight="1" x14ac:dyDescent="0.3">
      <c r="A36" s="32" t="s">
        <v>224</v>
      </c>
      <c r="B36" s="33" t="s">
        <v>5</v>
      </c>
      <c r="C36" s="34">
        <v>600</v>
      </c>
      <c r="D36" s="35">
        <f>18618524+1574888</f>
        <v>20193412</v>
      </c>
    </row>
    <row r="37" spans="1:6" s="4" customFormat="1" ht="37.5" x14ac:dyDescent="0.3">
      <c r="A37" s="28" t="s">
        <v>6</v>
      </c>
      <c r="B37" s="29" t="s">
        <v>221</v>
      </c>
      <c r="C37" s="30"/>
      <c r="D37" s="31">
        <f>SUM(D38:D39)</f>
        <v>572500</v>
      </c>
      <c r="F37" s="12"/>
    </row>
    <row r="38" spans="1:6" ht="98.25" customHeight="1" x14ac:dyDescent="0.3">
      <c r="A38" s="32" t="s">
        <v>203</v>
      </c>
      <c r="B38" s="33" t="s">
        <v>7</v>
      </c>
      <c r="C38" s="34">
        <v>200</v>
      </c>
      <c r="D38" s="35">
        <v>147500</v>
      </c>
    </row>
    <row r="39" spans="1:6" ht="98.25" customHeight="1" x14ac:dyDescent="0.3">
      <c r="A39" s="32" t="s">
        <v>186</v>
      </c>
      <c r="B39" s="33" t="s">
        <v>7</v>
      </c>
      <c r="C39" s="34">
        <v>600</v>
      </c>
      <c r="D39" s="35">
        <v>425000</v>
      </c>
    </row>
    <row r="40" spans="1:6" s="4" customFormat="1" ht="73.5" customHeight="1" x14ac:dyDescent="0.3">
      <c r="A40" s="28" t="s">
        <v>242</v>
      </c>
      <c r="B40" s="29" t="s">
        <v>8</v>
      </c>
      <c r="C40" s="30"/>
      <c r="D40" s="31">
        <f>SUM(D41:D43)</f>
        <v>2046403.13</v>
      </c>
      <c r="F40" s="12"/>
    </row>
    <row r="41" spans="1:6" ht="214.5" customHeight="1" x14ac:dyDescent="0.3">
      <c r="A41" s="32" t="s">
        <v>225</v>
      </c>
      <c r="B41" s="33" t="s">
        <v>9</v>
      </c>
      <c r="C41" s="34">
        <v>200</v>
      </c>
      <c r="D41" s="35">
        <v>38961</v>
      </c>
    </row>
    <row r="42" spans="1:6" ht="224.25" customHeight="1" x14ac:dyDescent="0.3">
      <c r="A42" s="32" t="s">
        <v>226</v>
      </c>
      <c r="B42" s="33" t="s">
        <v>9</v>
      </c>
      <c r="C42" s="34">
        <v>600</v>
      </c>
      <c r="D42" s="35">
        <v>939789</v>
      </c>
    </row>
    <row r="43" spans="1:6" ht="167.25" customHeight="1" x14ac:dyDescent="0.3">
      <c r="A43" s="32" t="s">
        <v>243</v>
      </c>
      <c r="B43" s="33" t="s">
        <v>10</v>
      </c>
      <c r="C43" s="34">
        <v>300</v>
      </c>
      <c r="D43" s="35">
        <v>1067653.1299999999</v>
      </c>
    </row>
    <row r="44" spans="1:6" s="5" customFormat="1" ht="103.5" customHeight="1" x14ac:dyDescent="0.3">
      <c r="A44" s="25" t="s">
        <v>244</v>
      </c>
      <c r="B44" s="24" t="s">
        <v>11</v>
      </c>
      <c r="C44" s="26"/>
      <c r="D44" s="27">
        <f>D45+D53+D59</f>
        <v>102717021.01000001</v>
      </c>
      <c r="F44" s="11"/>
    </row>
    <row r="45" spans="1:6" s="4" customFormat="1" ht="37.5" x14ac:dyDescent="0.3">
      <c r="A45" s="28" t="s">
        <v>245</v>
      </c>
      <c r="B45" s="29" t="s">
        <v>12</v>
      </c>
      <c r="C45" s="30"/>
      <c r="D45" s="31">
        <f>SUM(D46:D52)</f>
        <v>98869545.780000001</v>
      </c>
      <c r="F45" s="12"/>
    </row>
    <row r="46" spans="1:6" ht="184.5" customHeight="1" x14ac:dyDescent="0.3">
      <c r="A46" s="32" t="s">
        <v>246</v>
      </c>
      <c r="B46" s="33" t="s">
        <v>13</v>
      </c>
      <c r="C46" s="34">
        <v>100</v>
      </c>
      <c r="D46" s="35">
        <f>3393180+172000+4000</f>
        <v>3569180</v>
      </c>
    </row>
    <row r="47" spans="1:6" ht="149.25" customHeight="1" x14ac:dyDescent="0.3">
      <c r="A47" s="32" t="s">
        <v>247</v>
      </c>
      <c r="B47" s="33" t="s">
        <v>13</v>
      </c>
      <c r="C47" s="34">
        <v>200</v>
      </c>
      <c r="D47" s="35">
        <f>9848090+100000-100000+35000+562232.2-3000-39300+697628+118900+743903.4-1800+9425+24500+15075+87212+13000+40400+8026-13000+26519.31+160000</f>
        <v>12332810.91</v>
      </c>
    </row>
    <row r="48" spans="1:6" ht="142.5" customHeight="1" x14ac:dyDescent="0.3">
      <c r="A48" s="32" t="s">
        <v>187</v>
      </c>
      <c r="B48" s="33" t="s">
        <v>13</v>
      </c>
      <c r="C48" s="34">
        <v>600</v>
      </c>
      <c r="D48" s="35">
        <f>7304310+560000+200000+178126.41+142300+386867.2+11600+280400+130326.07+152875+181100+44000+36500+286591+38000+134367+190900</f>
        <v>10258262.68</v>
      </c>
    </row>
    <row r="49" spans="1:6" ht="126.75" customHeight="1" x14ac:dyDescent="0.3">
      <c r="A49" s="32" t="s">
        <v>248</v>
      </c>
      <c r="B49" s="33" t="s">
        <v>13</v>
      </c>
      <c r="C49" s="34">
        <v>800</v>
      </c>
      <c r="D49" s="35">
        <f>587500-11600+3000-104400-4000+1800-26519.31-8026</f>
        <v>437754.69</v>
      </c>
    </row>
    <row r="50" spans="1:6" ht="313.5" customHeight="1" x14ac:dyDescent="0.3">
      <c r="A50" s="32" t="s">
        <v>479</v>
      </c>
      <c r="B50" s="33" t="s">
        <v>14</v>
      </c>
      <c r="C50" s="34">
        <v>100</v>
      </c>
      <c r="D50" s="35">
        <f>32310705+3625468.5</f>
        <v>35936173.5</v>
      </c>
    </row>
    <row r="51" spans="1:6" ht="262.5" customHeight="1" x14ac:dyDescent="0.3">
      <c r="A51" s="32" t="s">
        <v>480</v>
      </c>
      <c r="B51" s="33" t="s">
        <v>14</v>
      </c>
      <c r="C51" s="34">
        <v>200</v>
      </c>
      <c r="D51" s="35">
        <v>207158</v>
      </c>
    </row>
    <row r="52" spans="1:6" ht="259.5" customHeight="1" x14ac:dyDescent="0.3">
      <c r="A52" s="32" t="s">
        <v>481</v>
      </c>
      <c r="B52" s="33" t="s">
        <v>14</v>
      </c>
      <c r="C52" s="34">
        <v>600</v>
      </c>
      <c r="D52" s="35">
        <v>36128206</v>
      </c>
    </row>
    <row r="53" spans="1:6" s="4" customFormat="1" ht="42" customHeight="1" x14ac:dyDescent="0.3">
      <c r="A53" s="28" t="s">
        <v>16</v>
      </c>
      <c r="B53" s="29" t="s">
        <v>15</v>
      </c>
      <c r="C53" s="30"/>
      <c r="D53" s="31">
        <f>SUM(D54:D58)</f>
        <v>3547475.23</v>
      </c>
      <c r="F53" s="12"/>
    </row>
    <row r="54" spans="1:6" ht="84" customHeight="1" x14ac:dyDescent="0.3">
      <c r="A54" s="32" t="s">
        <v>188</v>
      </c>
      <c r="B54" s="33" t="s">
        <v>17</v>
      </c>
      <c r="C54" s="34">
        <v>600</v>
      </c>
      <c r="D54" s="35">
        <f>1578600+308388.06</f>
        <v>1886988.06</v>
      </c>
    </row>
    <row r="55" spans="1:6" ht="105.75" customHeight="1" x14ac:dyDescent="0.3">
      <c r="A55" s="32" t="s">
        <v>204</v>
      </c>
      <c r="B55" s="33" t="s">
        <v>18</v>
      </c>
      <c r="C55" s="34">
        <v>200</v>
      </c>
      <c r="D55" s="35">
        <v>527500</v>
      </c>
    </row>
    <row r="56" spans="1:6" ht="108.75" customHeight="1" x14ac:dyDescent="0.3">
      <c r="A56" s="32" t="s">
        <v>189</v>
      </c>
      <c r="B56" s="33" t="s">
        <v>18</v>
      </c>
      <c r="C56" s="34">
        <v>600</v>
      </c>
      <c r="D56" s="35">
        <v>400000</v>
      </c>
    </row>
    <row r="57" spans="1:6" ht="126.75" customHeight="1" x14ac:dyDescent="0.3">
      <c r="A57" s="36" t="s">
        <v>493</v>
      </c>
      <c r="B57" s="33" t="s">
        <v>492</v>
      </c>
      <c r="C57" s="34">
        <v>200</v>
      </c>
      <c r="D57" s="35">
        <f>249732+41405</f>
        <v>291137</v>
      </c>
    </row>
    <row r="58" spans="1:6" ht="116.25" customHeight="1" x14ac:dyDescent="0.3">
      <c r="A58" s="37" t="s">
        <v>495</v>
      </c>
      <c r="B58" s="33" t="s">
        <v>492</v>
      </c>
      <c r="C58" s="34">
        <v>600</v>
      </c>
      <c r="D58" s="35">
        <f>303390.17+138460</f>
        <v>441850.17</v>
      </c>
    </row>
    <row r="59" spans="1:6" ht="68.25" customHeight="1" x14ac:dyDescent="0.3">
      <c r="A59" s="38" t="s">
        <v>530</v>
      </c>
      <c r="B59" s="29" t="s">
        <v>531</v>
      </c>
      <c r="C59" s="30"/>
      <c r="D59" s="31">
        <f>D60+D61</f>
        <v>300000</v>
      </c>
    </row>
    <row r="60" spans="1:6" ht="181.5" customHeight="1" x14ac:dyDescent="0.3">
      <c r="A60" s="36" t="s">
        <v>569</v>
      </c>
      <c r="B60" s="33" t="s">
        <v>570</v>
      </c>
      <c r="C60" s="34">
        <v>200</v>
      </c>
      <c r="D60" s="35">
        <f>200000+60000</f>
        <v>260000</v>
      </c>
    </row>
    <row r="61" spans="1:6" ht="181.5" customHeight="1" x14ac:dyDescent="0.3">
      <c r="A61" s="36" t="s">
        <v>580</v>
      </c>
      <c r="B61" s="33" t="s">
        <v>581</v>
      </c>
      <c r="C61" s="34">
        <v>200</v>
      </c>
      <c r="D61" s="35">
        <v>40000</v>
      </c>
    </row>
    <row r="62" spans="1:6" s="5" customFormat="1" ht="44.25" customHeight="1" x14ac:dyDescent="0.3">
      <c r="A62" s="25" t="s">
        <v>429</v>
      </c>
      <c r="B62" s="24" t="s">
        <v>19</v>
      </c>
      <c r="C62" s="26"/>
      <c r="D62" s="27">
        <f>D63</f>
        <v>9823375.5299999993</v>
      </c>
      <c r="F62" s="11"/>
    </row>
    <row r="63" spans="1:6" s="4" customFormat="1" ht="46.5" customHeight="1" x14ac:dyDescent="0.3">
      <c r="A63" s="28" t="s">
        <v>430</v>
      </c>
      <c r="B63" s="29" t="s">
        <v>20</v>
      </c>
      <c r="C63" s="30"/>
      <c r="D63" s="31">
        <f>SUM(D64:D65)</f>
        <v>9823375.5299999993</v>
      </c>
      <c r="F63" s="12"/>
    </row>
    <row r="64" spans="1:6" ht="88.5" customHeight="1" x14ac:dyDescent="0.3">
      <c r="A64" s="32" t="s">
        <v>190</v>
      </c>
      <c r="B64" s="33" t="s">
        <v>21</v>
      </c>
      <c r="C64" s="34">
        <v>600</v>
      </c>
      <c r="D64" s="35">
        <f>7732400+287828.86+41602+15400+312005+83800+270252+51000+33767-585200</f>
        <v>8242854.8599999994</v>
      </c>
    </row>
    <row r="65" spans="1:6" ht="147" customHeight="1" x14ac:dyDescent="0.3">
      <c r="A65" s="32" t="s">
        <v>191</v>
      </c>
      <c r="B65" s="33" t="s">
        <v>201</v>
      </c>
      <c r="C65" s="34">
        <v>600</v>
      </c>
      <c r="D65" s="35">
        <v>1580520.67</v>
      </c>
    </row>
    <row r="66" spans="1:6" s="5" customFormat="1" ht="49.5" customHeight="1" x14ac:dyDescent="0.3">
      <c r="A66" s="25" t="s">
        <v>23</v>
      </c>
      <c r="B66" s="24" t="s">
        <v>22</v>
      </c>
      <c r="C66" s="26"/>
      <c r="D66" s="27">
        <f>D67+D72</f>
        <v>659660</v>
      </c>
      <c r="F66" s="11"/>
    </row>
    <row r="67" spans="1:6" s="4" customFormat="1" ht="49.5" customHeight="1" x14ac:dyDescent="0.3">
      <c r="A67" s="28" t="s">
        <v>233</v>
      </c>
      <c r="B67" s="29" t="s">
        <v>24</v>
      </c>
      <c r="C67" s="30"/>
      <c r="D67" s="31">
        <f>SUM(D68:D71)</f>
        <v>613460</v>
      </c>
      <c r="F67" s="12"/>
    </row>
    <row r="68" spans="1:6" ht="83.25" customHeight="1" x14ac:dyDescent="0.3">
      <c r="A68" s="32" t="s">
        <v>249</v>
      </c>
      <c r="B68" s="33" t="s">
        <v>26</v>
      </c>
      <c r="C68" s="34">
        <v>200</v>
      </c>
      <c r="D68" s="35">
        <v>22100</v>
      </c>
    </row>
    <row r="69" spans="1:6" ht="103.5" customHeight="1" x14ac:dyDescent="0.3">
      <c r="A69" s="32" t="s">
        <v>494</v>
      </c>
      <c r="B69" s="33" t="s">
        <v>25</v>
      </c>
      <c r="C69" s="34">
        <v>600</v>
      </c>
      <c r="D69" s="35">
        <f>105900+360</f>
        <v>106260</v>
      </c>
    </row>
    <row r="70" spans="1:6" ht="105.75" customHeight="1" x14ac:dyDescent="0.3">
      <c r="A70" s="32" t="s">
        <v>250</v>
      </c>
      <c r="B70" s="33" t="s">
        <v>27</v>
      </c>
      <c r="C70" s="34">
        <v>200</v>
      </c>
      <c r="D70" s="35">
        <f>207900-13860</f>
        <v>194040</v>
      </c>
    </row>
    <row r="71" spans="1:6" ht="110.25" customHeight="1" x14ac:dyDescent="0.3">
      <c r="A71" s="32" t="s">
        <v>251</v>
      </c>
      <c r="B71" s="33" t="s">
        <v>27</v>
      </c>
      <c r="C71" s="34">
        <v>600</v>
      </c>
      <c r="D71" s="35">
        <f>277200+13860</f>
        <v>291060</v>
      </c>
    </row>
    <row r="72" spans="1:6" s="4" customFormat="1" ht="44.25" customHeight="1" x14ac:dyDescent="0.3">
      <c r="A72" s="28" t="s">
        <v>227</v>
      </c>
      <c r="B72" s="29" t="s">
        <v>28</v>
      </c>
      <c r="C72" s="30"/>
      <c r="D72" s="31">
        <f>D73</f>
        <v>46200</v>
      </c>
      <c r="F72" s="12"/>
    </row>
    <row r="73" spans="1:6" ht="121.5" customHeight="1" x14ac:dyDescent="0.3">
      <c r="A73" s="32" t="s">
        <v>228</v>
      </c>
      <c r="B73" s="33" t="s">
        <v>29</v>
      </c>
      <c r="C73" s="34">
        <v>200</v>
      </c>
      <c r="D73" s="35">
        <v>46200</v>
      </c>
    </row>
    <row r="74" spans="1:6" s="5" customFormat="1" ht="25.5" customHeight="1" x14ac:dyDescent="0.3">
      <c r="A74" s="25" t="s">
        <v>252</v>
      </c>
      <c r="B74" s="24" t="s">
        <v>30</v>
      </c>
      <c r="C74" s="26"/>
      <c r="D74" s="27">
        <f>D75</f>
        <v>155000</v>
      </c>
      <c r="F74" s="11"/>
    </row>
    <row r="75" spans="1:6" s="4" customFormat="1" ht="47.25" customHeight="1" x14ac:dyDescent="0.3">
      <c r="A75" s="28" t="s">
        <v>253</v>
      </c>
      <c r="B75" s="29" t="s">
        <v>31</v>
      </c>
      <c r="C75" s="30"/>
      <c r="D75" s="31">
        <f>SUM(D76:D80)</f>
        <v>155000</v>
      </c>
      <c r="F75" s="12"/>
    </row>
    <row r="76" spans="1:6" ht="151.5" customHeight="1" x14ac:dyDescent="0.3">
      <c r="A76" s="32" t="s">
        <v>254</v>
      </c>
      <c r="B76" s="33" t="s">
        <v>32</v>
      </c>
      <c r="C76" s="34">
        <v>200</v>
      </c>
      <c r="D76" s="35">
        <v>50000</v>
      </c>
    </row>
    <row r="77" spans="1:6" ht="154.5" customHeight="1" x14ac:dyDescent="0.3">
      <c r="A77" s="32" t="s">
        <v>255</v>
      </c>
      <c r="B77" s="33" t="s">
        <v>32</v>
      </c>
      <c r="C77" s="34">
        <v>600</v>
      </c>
      <c r="D77" s="35">
        <f>75000-10000</f>
        <v>65000</v>
      </c>
    </row>
    <row r="78" spans="1:6" ht="93.75" customHeight="1" x14ac:dyDescent="0.3">
      <c r="A78" s="32" t="s">
        <v>607</v>
      </c>
      <c r="B78" s="33" t="s">
        <v>606</v>
      </c>
      <c r="C78" s="34">
        <v>600</v>
      </c>
      <c r="D78" s="35">
        <v>10000</v>
      </c>
    </row>
    <row r="79" spans="1:6" ht="130.5" customHeight="1" x14ac:dyDescent="0.3">
      <c r="A79" s="32" t="s">
        <v>256</v>
      </c>
      <c r="B79" s="33" t="s">
        <v>33</v>
      </c>
      <c r="C79" s="34">
        <v>200</v>
      </c>
      <c r="D79" s="35">
        <v>8000</v>
      </c>
      <c r="E79" s="21"/>
    </row>
    <row r="80" spans="1:6" ht="130.5" customHeight="1" x14ac:dyDescent="0.3">
      <c r="A80" s="32" t="s">
        <v>460</v>
      </c>
      <c r="B80" s="33" t="s">
        <v>33</v>
      </c>
      <c r="C80" s="34">
        <v>600</v>
      </c>
      <c r="D80" s="35">
        <v>22000</v>
      </c>
      <c r="E80" s="21"/>
    </row>
    <row r="81" spans="1:6" s="5" customFormat="1" ht="51" customHeight="1" x14ac:dyDescent="0.3">
      <c r="A81" s="39" t="s">
        <v>35</v>
      </c>
      <c r="B81" s="24" t="s">
        <v>34</v>
      </c>
      <c r="C81" s="26"/>
      <c r="D81" s="27">
        <f>D82</f>
        <v>50000</v>
      </c>
      <c r="F81" s="11"/>
    </row>
    <row r="82" spans="1:6" s="4" customFormat="1" ht="49.5" customHeight="1" x14ac:dyDescent="0.3">
      <c r="A82" s="28" t="s">
        <v>37</v>
      </c>
      <c r="B82" s="29" t="s">
        <v>36</v>
      </c>
      <c r="C82" s="30"/>
      <c r="D82" s="31">
        <f>SUM(D83:D84)</f>
        <v>50000</v>
      </c>
      <c r="F82" s="12"/>
    </row>
    <row r="83" spans="1:6" ht="145.5" customHeight="1" x14ac:dyDescent="0.3">
      <c r="A83" s="32" t="s">
        <v>205</v>
      </c>
      <c r="B83" s="33" t="s">
        <v>38</v>
      </c>
      <c r="C83" s="34">
        <v>200</v>
      </c>
      <c r="D83" s="35">
        <v>30000</v>
      </c>
    </row>
    <row r="84" spans="1:6" ht="147.75" customHeight="1" x14ac:dyDescent="0.3">
      <c r="A84" s="32" t="s">
        <v>197</v>
      </c>
      <c r="B84" s="33" t="s">
        <v>38</v>
      </c>
      <c r="C84" s="34">
        <v>600</v>
      </c>
      <c r="D84" s="35">
        <v>20000</v>
      </c>
    </row>
    <row r="85" spans="1:6" s="5" customFormat="1" ht="87" customHeight="1" x14ac:dyDescent="0.3">
      <c r="A85" s="25" t="s">
        <v>40</v>
      </c>
      <c r="B85" s="24" t="s">
        <v>39</v>
      </c>
      <c r="C85" s="26"/>
      <c r="D85" s="27">
        <f>D86</f>
        <v>97100</v>
      </c>
      <c r="F85" s="11"/>
    </row>
    <row r="86" spans="1:6" s="4" customFormat="1" ht="51" customHeight="1" x14ac:dyDescent="0.3">
      <c r="A86" s="28" t="s">
        <v>41</v>
      </c>
      <c r="B86" s="29" t="s">
        <v>200</v>
      </c>
      <c r="C86" s="30"/>
      <c r="D86" s="31">
        <f>SUM(D87:D88)</f>
        <v>97100</v>
      </c>
      <c r="F86" s="12"/>
    </row>
    <row r="87" spans="1:6" ht="108.75" customHeight="1" x14ac:dyDescent="0.3">
      <c r="A87" s="32" t="s">
        <v>206</v>
      </c>
      <c r="B87" s="33" t="s">
        <v>42</v>
      </c>
      <c r="C87" s="34">
        <v>200</v>
      </c>
      <c r="D87" s="35">
        <f>66100-21021.74</f>
        <v>45078.259999999995</v>
      </c>
    </row>
    <row r="88" spans="1:6" ht="107.25" customHeight="1" x14ac:dyDescent="0.3">
      <c r="A88" s="32" t="s">
        <v>192</v>
      </c>
      <c r="B88" s="33" t="s">
        <v>42</v>
      </c>
      <c r="C88" s="34">
        <v>600</v>
      </c>
      <c r="D88" s="35">
        <f>31000+21021.74</f>
        <v>52021.740000000005</v>
      </c>
    </row>
    <row r="89" spans="1:6" s="5" customFormat="1" ht="95.25" customHeight="1" x14ac:dyDescent="0.3">
      <c r="A89" s="25" t="s">
        <v>257</v>
      </c>
      <c r="B89" s="24" t="s">
        <v>43</v>
      </c>
      <c r="C89" s="26"/>
      <c r="D89" s="27">
        <f>D90</f>
        <v>6717752.8399999999</v>
      </c>
      <c r="F89" s="11"/>
    </row>
    <row r="90" spans="1:6" s="4" customFormat="1" ht="89.25" customHeight="1" x14ac:dyDescent="0.3">
      <c r="A90" s="28" t="s">
        <v>474</v>
      </c>
      <c r="B90" s="29" t="s">
        <v>44</v>
      </c>
      <c r="C90" s="30"/>
      <c r="D90" s="31">
        <f>SUM(D91:D93)</f>
        <v>6717752.8399999999</v>
      </c>
      <c r="F90" s="12"/>
    </row>
    <row r="91" spans="1:6" ht="129.75" customHeight="1" x14ac:dyDescent="0.3">
      <c r="A91" s="32" t="s">
        <v>179</v>
      </c>
      <c r="B91" s="33" t="s">
        <v>45</v>
      </c>
      <c r="C91" s="34">
        <v>100</v>
      </c>
      <c r="D91" s="35">
        <f>4672600+185032.84-54110+107625</f>
        <v>4911147.84</v>
      </c>
    </row>
    <row r="92" spans="1:6" ht="94.5" customHeight="1" x14ac:dyDescent="0.3">
      <c r="A92" s="32" t="s">
        <v>258</v>
      </c>
      <c r="B92" s="33" t="s">
        <v>45</v>
      </c>
      <c r="C92" s="34">
        <v>200</v>
      </c>
      <c r="D92" s="35">
        <f>1350400+100000+23000+20080-98765+90000+22800+7190+234300</f>
        <v>1749005</v>
      </c>
    </row>
    <row r="93" spans="1:6" ht="52.5" customHeight="1" x14ac:dyDescent="0.3">
      <c r="A93" s="32" t="s">
        <v>259</v>
      </c>
      <c r="B93" s="33" t="s">
        <v>45</v>
      </c>
      <c r="C93" s="34">
        <v>800</v>
      </c>
      <c r="D93" s="35">
        <v>57600</v>
      </c>
    </row>
    <row r="94" spans="1:6" ht="79.5" customHeight="1" x14ac:dyDescent="0.3">
      <c r="A94" s="25" t="s">
        <v>586</v>
      </c>
      <c r="B94" s="24" t="s">
        <v>582</v>
      </c>
      <c r="C94" s="26"/>
      <c r="D94" s="27">
        <f>D95</f>
        <v>52000</v>
      </c>
    </row>
    <row r="95" spans="1:6" ht="46.5" customHeight="1" x14ac:dyDescent="0.3">
      <c r="A95" s="28" t="s">
        <v>585</v>
      </c>
      <c r="B95" s="29" t="s">
        <v>583</v>
      </c>
      <c r="C95" s="30"/>
      <c r="D95" s="31">
        <f>D96+D97</f>
        <v>52000</v>
      </c>
    </row>
    <row r="96" spans="1:6" ht="118.5" customHeight="1" x14ac:dyDescent="0.3">
      <c r="A96" s="32" t="s">
        <v>599</v>
      </c>
      <c r="B96" s="33" t="s">
        <v>584</v>
      </c>
      <c r="C96" s="34">
        <v>200</v>
      </c>
      <c r="D96" s="35">
        <v>0</v>
      </c>
    </row>
    <row r="97" spans="1:6" ht="118.5" customHeight="1" x14ac:dyDescent="0.3">
      <c r="A97" s="32" t="s">
        <v>610</v>
      </c>
      <c r="B97" s="33" t="s">
        <v>584</v>
      </c>
      <c r="C97" s="34">
        <v>600</v>
      </c>
      <c r="D97" s="35">
        <v>52000</v>
      </c>
    </row>
    <row r="98" spans="1:6" s="5" customFormat="1" ht="108.75" customHeight="1" x14ac:dyDescent="0.3">
      <c r="A98" s="25" t="s">
        <v>436</v>
      </c>
      <c r="B98" s="24" t="s">
        <v>46</v>
      </c>
      <c r="C98" s="26"/>
      <c r="D98" s="27">
        <f>D99+D110+D116+D121+D125+D128+D140+D146</f>
        <v>14848471.170000002</v>
      </c>
      <c r="F98" s="11"/>
    </row>
    <row r="99" spans="1:6" s="5" customFormat="1" ht="53.25" customHeight="1" x14ac:dyDescent="0.3">
      <c r="A99" s="25" t="s">
        <v>260</v>
      </c>
      <c r="B99" s="24" t="s">
        <v>47</v>
      </c>
      <c r="C99" s="26"/>
      <c r="D99" s="27">
        <f>D103</f>
        <v>4801612.84</v>
      </c>
      <c r="F99" s="11"/>
    </row>
    <row r="100" spans="1:6" s="4" customFormat="1" ht="79.5" hidden="1" customHeight="1" x14ac:dyDescent="0.3">
      <c r="A100" s="28" t="s">
        <v>49</v>
      </c>
      <c r="B100" s="29" t="s">
        <v>48</v>
      </c>
      <c r="C100" s="30"/>
      <c r="D100" s="31">
        <f>SUM(D101:D102)</f>
        <v>0</v>
      </c>
      <c r="F100" s="12"/>
    </row>
    <row r="101" spans="1:6" ht="80.25" hidden="1" customHeight="1" x14ac:dyDescent="0.3">
      <c r="A101" s="32" t="s">
        <v>51</v>
      </c>
      <c r="B101" s="33" t="s">
        <v>50</v>
      </c>
      <c r="C101" s="34"/>
      <c r="D101" s="35"/>
    </row>
    <row r="102" spans="1:6" ht="7.5" hidden="1" customHeight="1" x14ac:dyDescent="0.3">
      <c r="A102" s="32" t="s">
        <v>53</v>
      </c>
      <c r="B102" s="33" t="s">
        <v>52</v>
      </c>
      <c r="C102" s="34"/>
      <c r="D102" s="35"/>
    </row>
    <row r="103" spans="1:6" s="4" customFormat="1" ht="106.5" customHeight="1" x14ac:dyDescent="0.3">
      <c r="A103" s="40" t="s">
        <v>311</v>
      </c>
      <c r="B103" s="29" t="s">
        <v>310</v>
      </c>
      <c r="C103" s="30"/>
      <c r="D103" s="31">
        <f>SUM(D104:D109)</f>
        <v>4801612.84</v>
      </c>
      <c r="F103" s="12"/>
    </row>
    <row r="104" spans="1:6" s="4" customFormat="1" ht="122.25" customHeight="1" x14ac:dyDescent="0.3">
      <c r="A104" s="36" t="s">
        <v>482</v>
      </c>
      <c r="B104" s="41" t="s">
        <v>476</v>
      </c>
      <c r="C104" s="34">
        <v>500</v>
      </c>
      <c r="D104" s="35">
        <f>1616160.82-580398.82</f>
        <v>1035762.0000000001</v>
      </c>
      <c r="F104" s="12"/>
    </row>
    <row r="105" spans="1:6" s="4" customFormat="1" ht="106.5" customHeight="1" x14ac:dyDescent="0.3">
      <c r="A105" s="36" t="s">
        <v>483</v>
      </c>
      <c r="B105" s="41" t="s">
        <v>477</v>
      </c>
      <c r="C105" s="34">
        <v>500</v>
      </c>
      <c r="D105" s="35">
        <f>397995.23-226467.23</f>
        <v>171527.99999999997</v>
      </c>
      <c r="F105" s="12"/>
    </row>
    <row r="106" spans="1:6" ht="85.5" customHeight="1" x14ac:dyDescent="0.3">
      <c r="A106" s="32" t="s">
        <v>484</v>
      </c>
      <c r="B106" s="33" t="s">
        <v>462</v>
      </c>
      <c r="C106" s="34">
        <v>200</v>
      </c>
      <c r="D106" s="35">
        <f>3047280.69-2014156.05+978394.05+544504.67</f>
        <v>2556023.36</v>
      </c>
      <c r="E106" s="22"/>
    </row>
    <row r="107" spans="1:6" ht="82.5" customHeight="1" x14ac:dyDescent="0.3">
      <c r="A107" s="32" t="s">
        <v>464</v>
      </c>
      <c r="B107" s="33" t="s">
        <v>463</v>
      </c>
      <c r="C107" s="34">
        <v>200</v>
      </c>
      <c r="D107" s="35">
        <f>1025066.51-171528+109052.97</f>
        <v>962591.48</v>
      </c>
      <c r="E107" s="22"/>
    </row>
    <row r="108" spans="1:6" ht="98.25" customHeight="1" x14ac:dyDescent="0.3">
      <c r="A108" s="36" t="s">
        <v>466</v>
      </c>
      <c r="B108" s="33" t="s">
        <v>465</v>
      </c>
      <c r="C108" s="34">
        <v>200</v>
      </c>
      <c r="D108" s="35">
        <f>150000-85587.76</f>
        <v>64412.240000000005</v>
      </c>
      <c r="E108" s="22"/>
    </row>
    <row r="109" spans="1:6" ht="107.25" customHeight="1" x14ac:dyDescent="0.3">
      <c r="A109" s="32" t="s">
        <v>468</v>
      </c>
      <c r="B109" s="33" t="s">
        <v>467</v>
      </c>
      <c r="C109" s="34">
        <v>200</v>
      </c>
      <c r="D109" s="35">
        <v>11295.76</v>
      </c>
    </row>
    <row r="110" spans="1:6" s="5" customFormat="1" ht="69" customHeight="1" x14ac:dyDescent="0.3">
      <c r="A110" s="25" t="s">
        <v>261</v>
      </c>
      <c r="B110" s="24" t="s">
        <v>54</v>
      </c>
      <c r="C110" s="26"/>
      <c r="D110" s="27">
        <f>D111</f>
        <v>278021</v>
      </c>
      <c r="F110" s="11"/>
    </row>
    <row r="111" spans="1:6" s="4" customFormat="1" ht="48" customHeight="1" x14ac:dyDescent="0.3">
      <c r="A111" s="28" t="s">
        <v>262</v>
      </c>
      <c r="B111" s="29" t="s">
        <v>55</v>
      </c>
      <c r="C111" s="30"/>
      <c r="D111" s="31">
        <f>SUM(D112:D115)</f>
        <v>278021</v>
      </c>
      <c r="F111" s="12"/>
    </row>
    <row r="112" spans="1:6" ht="84" customHeight="1" x14ac:dyDescent="0.3">
      <c r="A112" s="32" t="s">
        <v>393</v>
      </c>
      <c r="B112" s="33" t="s">
        <v>56</v>
      </c>
      <c r="C112" s="34">
        <v>200</v>
      </c>
      <c r="D112" s="35">
        <f>184021</f>
        <v>184021</v>
      </c>
    </row>
    <row r="113" spans="1:6" ht="141" customHeight="1" x14ac:dyDescent="0.3">
      <c r="A113" s="32" t="s">
        <v>454</v>
      </c>
      <c r="B113" s="33" t="s">
        <v>57</v>
      </c>
      <c r="C113" s="34">
        <v>200</v>
      </c>
      <c r="D113" s="35">
        <v>60000</v>
      </c>
    </row>
    <row r="114" spans="1:6" ht="144.75" customHeight="1" x14ac:dyDescent="0.3">
      <c r="A114" s="32" t="s">
        <v>455</v>
      </c>
      <c r="B114" s="33" t="s">
        <v>57</v>
      </c>
      <c r="C114" s="34">
        <v>600</v>
      </c>
      <c r="D114" s="35">
        <v>24000</v>
      </c>
    </row>
    <row r="115" spans="1:6" ht="89.25" customHeight="1" x14ac:dyDescent="0.3">
      <c r="A115" s="32" t="s">
        <v>394</v>
      </c>
      <c r="B115" s="33" t="s">
        <v>312</v>
      </c>
      <c r="C115" s="34">
        <v>200</v>
      </c>
      <c r="D115" s="35">
        <f>30000-10575-9425</f>
        <v>10000</v>
      </c>
    </row>
    <row r="116" spans="1:6" s="5" customFormat="1" ht="143.25" customHeight="1" x14ac:dyDescent="0.3">
      <c r="A116" s="42" t="s">
        <v>59</v>
      </c>
      <c r="B116" s="24" t="s">
        <v>58</v>
      </c>
      <c r="C116" s="26"/>
      <c r="D116" s="27">
        <f>D117</f>
        <v>1900000</v>
      </c>
      <c r="F116" s="11"/>
    </row>
    <row r="117" spans="1:6" s="4" customFormat="1" ht="65.25" customHeight="1" x14ac:dyDescent="0.3">
      <c r="A117" s="43" t="s">
        <v>61</v>
      </c>
      <c r="B117" s="29" t="s">
        <v>60</v>
      </c>
      <c r="C117" s="30"/>
      <c r="D117" s="31">
        <f>SUM(D118:D118)</f>
        <v>1900000</v>
      </c>
      <c r="F117" s="12"/>
    </row>
    <row r="118" spans="1:6" s="4" customFormat="1" ht="124.5" customHeight="1" x14ac:dyDescent="0.3">
      <c r="A118" s="36" t="s">
        <v>399</v>
      </c>
      <c r="B118" s="33" t="s">
        <v>62</v>
      </c>
      <c r="C118" s="34">
        <v>800</v>
      </c>
      <c r="D118" s="35">
        <v>1900000</v>
      </c>
      <c r="F118" s="12"/>
    </row>
    <row r="119" spans="1:6" ht="56.25" hidden="1" customHeight="1" x14ac:dyDescent="0.3">
      <c r="A119" s="32" t="s">
        <v>64</v>
      </c>
      <c r="B119" s="33" t="s">
        <v>63</v>
      </c>
      <c r="C119" s="34"/>
      <c r="D119" s="35"/>
    </row>
    <row r="120" spans="1:6" ht="8.25" hidden="1" customHeight="1" x14ac:dyDescent="0.3">
      <c r="A120" s="32" t="s">
        <v>66</v>
      </c>
      <c r="B120" s="33" t="s">
        <v>65</v>
      </c>
      <c r="C120" s="34"/>
      <c r="D120" s="35"/>
    </row>
    <row r="121" spans="1:6" s="5" customFormat="1" ht="54" customHeight="1" x14ac:dyDescent="0.3">
      <c r="A121" s="42" t="s">
        <v>268</v>
      </c>
      <c r="B121" s="24" t="s">
        <v>67</v>
      </c>
      <c r="C121" s="26"/>
      <c r="D121" s="27">
        <f>D122</f>
        <v>239612.49000000011</v>
      </c>
      <c r="F121" s="11"/>
    </row>
    <row r="122" spans="1:6" s="4" customFormat="1" ht="46.5" customHeight="1" x14ac:dyDescent="0.3">
      <c r="A122" s="40" t="s">
        <v>313</v>
      </c>
      <c r="B122" s="29" t="s">
        <v>68</v>
      </c>
      <c r="C122" s="30"/>
      <c r="D122" s="31">
        <f>SUM(D123:D124)</f>
        <v>239612.49000000011</v>
      </c>
      <c r="F122" s="12"/>
    </row>
    <row r="123" spans="1:6" ht="69" customHeight="1" x14ac:dyDescent="0.3">
      <c r="A123" s="36" t="s">
        <v>397</v>
      </c>
      <c r="B123" s="33" t="s">
        <v>69</v>
      </c>
      <c r="C123" s="34">
        <v>200</v>
      </c>
      <c r="D123" s="35">
        <f>2000000-1200000-564188.98</f>
        <v>235811.02000000002</v>
      </c>
    </row>
    <row r="124" spans="1:6" ht="110.25" customHeight="1" x14ac:dyDescent="0.3">
      <c r="A124" s="36" t="s">
        <v>561</v>
      </c>
      <c r="B124" s="33" t="s">
        <v>560</v>
      </c>
      <c r="C124" s="34">
        <v>200</v>
      </c>
      <c r="D124" s="35">
        <f>600000+3590779.31-629250.52-552900-756786-24500-375624-138212-1621345.69-88359.63</f>
        <v>3801.4700000000885</v>
      </c>
    </row>
    <row r="125" spans="1:6" s="5" customFormat="1" ht="66.75" customHeight="1" x14ac:dyDescent="0.3">
      <c r="A125" s="25" t="s">
        <v>175</v>
      </c>
      <c r="B125" s="24" t="s">
        <v>70</v>
      </c>
      <c r="C125" s="26"/>
      <c r="D125" s="27">
        <f>D126</f>
        <v>613478.84</v>
      </c>
      <c r="F125" s="11"/>
    </row>
    <row r="126" spans="1:6" s="4" customFormat="1" ht="63" customHeight="1" x14ac:dyDescent="0.3">
      <c r="A126" s="40" t="s">
        <v>471</v>
      </c>
      <c r="B126" s="29" t="s">
        <v>71</v>
      </c>
      <c r="C126" s="30"/>
      <c r="D126" s="31">
        <f>D127</f>
        <v>613478.84</v>
      </c>
      <c r="F126" s="12"/>
    </row>
    <row r="127" spans="1:6" ht="85.5" customHeight="1" x14ac:dyDescent="0.3">
      <c r="A127" s="32" t="s">
        <v>398</v>
      </c>
      <c r="B127" s="33" t="s">
        <v>72</v>
      </c>
      <c r="C127" s="34">
        <v>800</v>
      </c>
      <c r="D127" s="35">
        <f>1300000-600000-86521.16</f>
        <v>613478.84</v>
      </c>
    </row>
    <row r="128" spans="1:6" ht="91.5" customHeight="1" x14ac:dyDescent="0.3">
      <c r="A128" s="42" t="s">
        <v>489</v>
      </c>
      <c r="B128" s="24" t="s">
        <v>314</v>
      </c>
      <c r="C128" s="34"/>
      <c r="D128" s="27">
        <f>D129+D133+D135+D137</f>
        <v>3304548.38</v>
      </c>
    </row>
    <row r="129" spans="1:4" ht="45.75" customHeight="1" x14ac:dyDescent="0.3">
      <c r="A129" s="40" t="s">
        <v>490</v>
      </c>
      <c r="B129" s="29" t="s">
        <v>343</v>
      </c>
      <c r="C129" s="34"/>
      <c r="D129" s="31">
        <f>SUM(D130:D132)</f>
        <v>1133965.6499999999</v>
      </c>
    </row>
    <row r="130" spans="1:4" ht="108" customHeight="1" x14ac:dyDescent="0.3">
      <c r="A130" s="36" t="s">
        <v>491</v>
      </c>
      <c r="B130" s="41" t="s">
        <v>478</v>
      </c>
      <c r="C130" s="34">
        <v>500</v>
      </c>
      <c r="D130" s="35">
        <f>374832.5+124944.17+387915.02</f>
        <v>887691.69</v>
      </c>
    </row>
    <row r="131" spans="1:4" ht="87.75" customHeight="1" x14ac:dyDescent="0.3">
      <c r="A131" s="36" t="s">
        <v>396</v>
      </c>
      <c r="B131" s="33" t="s">
        <v>344</v>
      </c>
      <c r="C131" s="34">
        <v>200</v>
      </c>
      <c r="D131" s="35">
        <v>70000</v>
      </c>
    </row>
    <row r="132" spans="1:4" ht="90" customHeight="1" x14ac:dyDescent="0.3">
      <c r="A132" s="36" t="s">
        <v>567</v>
      </c>
      <c r="B132" s="33" t="s">
        <v>568</v>
      </c>
      <c r="C132" s="34">
        <v>200</v>
      </c>
      <c r="D132" s="35">
        <v>176273.96</v>
      </c>
    </row>
    <row r="133" spans="1:4" ht="74.25" customHeight="1" x14ac:dyDescent="0.3">
      <c r="A133" s="40" t="s">
        <v>437</v>
      </c>
      <c r="B133" s="29" t="s">
        <v>345</v>
      </c>
      <c r="C133" s="34"/>
      <c r="D133" s="31">
        <f>D134</f>
        <v>53961.599999999999</v>
      </c>
    </row>
    <row r="134" spans="1:4" ht="107.25" customHeight="1" x14ac:dyDescent="0.3">
      <c r="A134" s="36" t="s">
        <v>439</v>
      </c>
      <c r="B134" s="33" t="s">
        <v>346</v>
      </c>
      <c r="C134" s="34">
        <v>200</v>
      </c>
      <c r="D134" s="35">
        <f>54000-38.4</f>
        <v>53961.599999999999</v>
      </c>
    </row>
    <row r="135" spans="1:4" ht="46.5" customHeight="1" x14ac:dyDescent="0.3">
      <c r="A135" s="40" t="s">
        <v>438</v>
      </c>
      <c r="B135" s="29" t="s">
        <v>347</v>
      </c>
      <c r="C135" s="34"/>
      <c r="D135" s="31">
        <f>D136</f>
        <v>180038.39999999999</v>
      </c>
    </row>
    <row r="136" spans="1:4" ht="85.5" customHeight="1" x14ac:dyDescent="0.3">
      <c r="A136" s="36" t="s">
        <v>440</v>
      </c>
      <c r="B136" s="33" t="s">
        <v>348</v>
      </c>
      <c r="C136" s="34">
        <v>200</v>
      </c>
      <c r="D136" s="35">
        <f>180000+38.4</f>
        <v>180038.39999999999</v>
      </c>
    </row>
    <row r="137" spans="1:4" ht="49.5" customHeight="1" x14ac:dyDescent="0.3">
      <c r="A137" s="44" t="s">
        <v>441</v>
      </c>
      <c r="B137" s="29" t="s">
        <v>442</v>
      </c>
      <c r="C137" s="30"/>
      <c r="D137" s="31">
        <f>D138+D139</f>
        <v>1936582.73</v>
      </c>
    </row>
    <row r="138" spans="1:4" ht="86.25" customHeight="1" x14ac:dyDescent="0.3">
      <c r="A138" s="37" t="s">
        <v>443</v>
      </c>
      <c r="B138" s="34" t="s">
        <v>447</v>
      </c>
      <c r="C138" s="34">
        <v>200</v>
      </c>
      <c r="D138" s="35">
        <f>2000000-70300-13417.27-50000</f>
        <v>1866282.73</v>
      </c>
    </row>
    <row r="139" spans="1:4" ht="100.5" customHeight="1" x14ac:dyDescent="0.3">
      <c r="A139" s="37" t="s">
        <v>578</v>
      </c>
      <c r="B139" s="34" t="s">
        <v>577</v>
      </c>
      <c r="C139" s="34">
        <v>200</v>
      </c>
      <c r="D139" s="35">
        <v>70300</v>
      </c>
    </row>
    <row r="140" spans="1:4" ht="109.5" customHeight="1" x14ac:dyDescent="0.3">
      <c r="A140" s="42" t="s">
        <v>315</v>
      </c>
      <c r="B140" s="24" t="s">
        <v>316</v>
      </c>
      <c r="C140" s="34"/>
      <c r="D140" s="27">
        <f>D141+D144</f>
        <v>267000</v>
      </c>
    </row>
    <row r="141" spans="1:4" ht="108.75" customHeight="1" x14ac:dyDescent="0.3">
      <c r="A141" s="40" t="s">
        <v>317</v>
      </c>
      <c r="B141" s="29" t="s">
        <v>318</v>
      </c>
      <c r="C141" s="34"/>
      <c r="D141" s="31">
        <f>SUM(D142:D143)</f>
        <v>267000</v>
      </c>
    </row>
    <row r="142" spans="1:4" ht="120" customHeight="1" x14ac:dyDescent="0.3">
      <c r="A142" s="36" t="s">
        <v>510</v>
      </c>
      <c r="B142" s="33" t="s">
        <v>509</v>
      </c>
      <c r="C142" s="34">
        <v>200</v>
      </c>
      <c r="D142" s="35">
        <v>147000</v>
      </c>
    </row>
    <row r="143" spans="1:4" ht="120" customHeight="1" x14ac:dyDescent="0.3">
      <c r="A143" s="36" t="s">
        <v>512</v>
      </c>
      <c r="B143" s="33" t="s">
        <v>511</v>
      </c>
      <c r="C143" s="34">
        <v>200</v>
      </c>
      <c r="D143" s="35">
        <v>120000</v>
      </c>
    </row>
    <row r="144" spans="1:4" ht="35.25" customHeight="1" x14ac:dyDescent="0.3">
      <c r="A144" s="45" t="s">
        <v>319</v>
      </c>
      <c r="B144" s="29" t="s">
        <v>320</v>
      </c>
      <c r="C144" s="34"/>
      <c r="D144" s="31">
        <f>D145</f>
        <v>0</v>
      </c>
    </row>
    <row r="145" spans="1:6" ht="64.5" customHeight="1" x14ac:dyDescent="0.3">
      <c r="A145" s="36" t="s">
        <v>395</v>
      </c>
      <c r="B145" s="33" t="s">
        <v>321</v>
      </c>
      <c r="C145" s="34">
        <v>800</v>
      </c>
      <c r="D145" s="35">
        <v>0</v>
      </c>
    </row>
    <row r="146" spans="1:6" ht="68.25" customHeight="1" x14ac:dyDescent="0.3">
      <c r="A146" s="46" t="s">
        <v>485</v>
      </c>
      <c r="B146" s="24" t="s">
        <v>349</v>
      </c>
      <c r="C146" s="34"/>
      <c r="D146" s="27">
        <f>D147</f>
        <v>3444197.62</v>
      </c>
    </row>
    <row r="147" spans="1:6" ht="50.25" customHeight="1" x14ac:dyDescent="0.3">
      <c r="A147" s="40" t="s">
        <v>486</v>
      </c>
      <c r="B147" s="29" t="s">
        <v>350</v>
      </c>
      <c r="C147" s="34"/>
      <c r="D147" s="31">
        <f>SUM(D148:D149)</f>
        <v>3444197.62</v>
      </c>
    </row>
    <row r="148" spans="1:6" ht="105" customHeight="1" x14ac:dyDescent="0.3">
      <c r="A148" s="36" t="s">
        <v>487</v>
      </c>
      <c r="B148" s="33" t="s">
        <v>351</v>
      </c>
      <c r="C148" s="34">
        <v>200</v>
      </c>
      <c r="D148" s="35">
        <f>2216031-1485191.31+1485191.31</f>
        <v>2216031</v>
      </c>
    </row>
    <row r="149" spans="1:6" ht="81" customHeight="1" x14ac:dyDescent="0.3">
      <c r="A149" s="36" t="s">
        <v>488</v>
      </c>
      <c r="B149" s="33" t="s">
        <v>469</v>
      </c>
      <c r="C149" s="34">
        <v>200</v>
      </c>
      <c r="D149" s="35">
        <f>2003969-374832.5-400969.88</f>
        <v>1228166.6200000001</v>
      </c>
    </row>
    <row r="150" spans="1:6" s="5" customFormat="1" ht="67.5" customHeight="1" x14ac:dyDescent="0.3">
      <c r="A150" s="25" t="s">
        <v>269</v>
      </c>
      <c r="B150" s="24" t="s">
        <v>73</v>
      </c>
      <c r="C150" s="26"/>
      <c r="D150" s="27">
        <f>D151+D161+D169+D174+D177+D181</f>
        <v>22726176.41</v>
      </c>
      <c r="F150" s="11"/>
    </row>
    <row r="151" spans="1:6" s="5" customFormat="1" ht="56.25" customHeight="1" x14ac:dyDescent="0.3">
      <c r="A151" s="25" t="s">
        <v>270</v>
      </c>
      <c r="B151" s="24" t="s">
        <v>74</v>
      </c>
      <c r="C151" s="26"/>
      <c r="D151" s="27">
        <f>D152+D158</f>
        <v>17587049</v>
      </c>
      <c r="F151" s="11"/>
    </row>
    <row r="152" spans="1:6" s="4" customFormat="1" ht="44.25" customHeight="1" x14ac:dyDescent="0.3">
      <c r="A152" s="28" t="s">
        <v>76</v>
      </c>
      <c r="B152" s="29" t="s">
        <v>75</v>
      </c>
      <c r="C152" s="30"/>
      <c r="D152" s="31">
        <f>SUM(D153:D157)</f>
        <v>12070460.000000002</v>
      </c>
      <c r="F152" s="12"/>
    </row>
    <row r="153" spans="1:6" ht="126.75" customHeight="1" x14ac:dyDescent="0.3">
      <c r="A153" s="32" t="s">
        <v>180</v>
      </c>
      <c r="B153" s="33" t="s">
        <v>77</v>
      </c>
      <c r="C153" s="34">
        <v>100</v>
      </c>
      <c r="D153" s="35">
        <f>8254904+493420.9-12750-30000-57000-30000-177000-13020</f>
        <v>8428554.9000000004</v>
      </c>
    </row>
    <row r="154" spans="1:6" ht="87" customHeight="1" x14ac:dyDescent="0.3">
      <c r="A154" s="32" t="s">
        <v>207</v>
      </c>
      <c r="B154" s="33" t="s">
        <v>77</v>
      </c>
      <c r="C154" s="34">
        <v>200</v>
      </c>
      <c r="D154" s="35">
        <f>1973000+20000+255556+13635.62+24000+30000+57000+30000+74476.52+177000+18450+119146.58</f>
        <v>2792264.72</v>
      </c>
    </row>
    <row r="155" spans="1:6" ht="66" customHeight="1" x14ac:dyDescent="0.3">
      <c r="A155" s="32" t="s">
        <v>198</v>
      </c>
      <c r="B155" s="33" t="s">
        <v>77</v>
      </c>
      <c r="C155" s="34">
        <v>800</v>
      </c>
      <c r="D155" s="35">
        <f>42000-13635.62-5430</f>
        <v>22934.379999999997</v>
      </c>
    </row>
    <row r="156" spans="1:6" ht="151.5" customHeight="1" x14ac:dyDescent="0.3">
      <c r="A156" s="32" t="s">
        <v>181</v>
      </c>
      <c r="B156" s="33" t="s">
        <v>78</v>
      </c>
      <c r="C156" s="34">
        <v>100</v>
      </c>
      <c r="D156" s="35">
        <v>444816</v>
      </c>
    </row>
    <row r="157" spans="1:6" ht="105.75" customHeight="1" x14ac:dyDescent="0.3">
      <c r="A157" s="32" t="s">
        <v>208</v>
      </c>
      <c r="B157" s="33" t="s">
        <v>78</v>
      </c>
      <c r="C157" s="34">
        <v>200</v>
      </c>
      <c r="D157" s="35">
        <v>381890</v>
      </c>
    </row>
    <row r="158" spans="1:6" s="4" customFormat="1" ht="69" customHeight="1" x14ac:dyDescent="0.3">
      <c r="A158" s="28" t="s">
        <v>271</v>
      </c>
      <c r="B158" s="29" t="s">
        <v>79</v>
      </c>
      <c r="C158" s="30"/>
      <c r="D158" s="31">
        <f>SUM(D159:D160)</f>
        <v>5516589</v>
      </c>
      <c r="F158" s="12"/>
    </row>
    <row r="159" spans="1:6" s="4" customFormat="1" ht="191.25" customHeight="1" x14ac:dyDescent="0.3">
      <c r="A159" s="36" t="s">
        <v>514</v>
      </c>
      <c r="B159" s="34" t="s">
        <v>513</v>
      </c>
      <c r="C159" s="34">
        <v>100</v>
      </c>
      <c r="D159" s="35">
        <f>1926813+1262183+384030</f>
        <v>3573026</v>
      </c>
      <c r="F159" s="12"/>
    </row>
    <row r="160" spans="1:6" ht="186.75" customHeight="1" x14ac:dyDescent="0.3">
      <c r="A160" s="32" t="s">
        <v>322</v>
      </c>
      <c r="B160" s="33" t="s">
        <v>80</v>
      </c>
      <c r="C160" s="34">
        <v>100</v>
      </c>
      <c r="D160" s="35">
        <f>1107335+819478+12750+4000</f>
        <v>1943563</v>
      </c>
    </row>
    <row r="161" spans="1:6" s="5" customFormat="1" ht="46.5" customHeight="1" x14ac:dyDescent="0.3">
      <c r="A161" s="25" t="s">
        <v>82</v>
      </c>
      <c r="B161" s="24" t="s">
        <v>81</v>
      </c>
      <c r="C161" s="26"/>
      <c r="D161" s="27">
        <f>D162+D164</f>
        <v>3908530.41</v>
      </c>
      <c r="F161" s="11"/>
    </row>
    <row r="162" spans="1:6" s="4" customFormat="1" ht="46.5" customHeight="1" x14ac:dyDescent="0.3">
      <c r="A162" s="28" t="s">
        <v>84</v>
      </c>
      <c r="B162" s="29" t="s">
        <v>83</v>
      </c>
      <c r="C162" s="30"/>
      <c r="D162" s="31">
        <f>D163</f>
        <v>3497939.41</v>
      </c>
      <c r="F162" s="12"/>
    </row>
    <row r="163" spans="1:6" ht="87.75" customHeight="1" x14ac:dyDescent="0.3">
      <c r="A163" s="32" t="s">
        <v>193</v>
      </c>
      <c r="B163" s="33" t="s">
        <v>85</v>
      </c>
      <c r="C163" s="34">
        <v>600</v>
      </c>
      <c r="D163" s="35">
        <f>3456821+41118.41</f>
        <v>3497939.41</v>
      </c>
    </row>
    <row r="164" spans="1:6" s="4" customFormat="1" ht="65.25" customHeight="1" x14ac:dyDescent="0.3">
      <c r="A164" s="28" t="s">
        <v>87</v>
      </c>
      <c r="B164" s="29" t="s">
        <v>86</v>
      </c>
      <c r="C164" s="30"/>
      <c r="D164" s="31">
        <f>SUM(D165:D168)</f>
        <v>410591</v>
      </c>
      <c r="F164" s="12"/>
    </row>
    <row r="165" spans="1:6" ht="162.75" customHeight="1" x14ac:dyDescent="0.3">
      <c r="A165" s="32" t="s">
        <v>194</v>
      </c>
      <c r="B165" s="33" t="s">
        <v>202</v>
      </c>
      <c r="C165" s="34">
        <v>600</v>
      </c>
      <c r="D165" s="35">
        <f>305300-228977</f>
        <v>76323</v>
      </c>
    </row>
    <row r="166" spans="1:6" ht="15" hidden="1" customHeight="1" x14ac:dyDescent="0.3">
      <c r="A166" s="32"/>
      <c r="B166" s="33"/>
      <c r="C166" s="34"/>
      <c r="D166" s="35"/>
    </row>
    <row r="167" spans="1:6" ht="169.5" customHeight="1" x14ac:dyDescent="0.3">
      <c r="A167" s="32" t="s">
        <v>517</v>
      </c>
      <c r="B167" s="33" t="s">
        <v>515</v>
      </c>
      <c r="C167" s="34">
        <v>600</v>
      </c>
      <c r="D167" s="35">
        <v>55291</v>
      </c>
    </row>
    <row r="168" spans="1:6" ht="162" customHeight="1" x14ac:dyDescent="0.3">
      <c r="A168" s="32" t="s">
        <v>518</v>
      </c>
      <c r="B168" s="33" t="s">
        <v>516</v>
      </c>
      <c r="C168" s="34">
        <v>600</v>
      </c>
      <c r="D168" s="35">
        <f>228977+50000</f>
        <v>278977</v>
      </c>
    </row>
    <row r="169" spans="1:6" s="5" customFormat="1" ht="45.75" customHeight="1" x14ac:dyDescent="0.3">
      <c r="A169" s="25" t="s">
        <v>89</v>
      </c>
      <c r="B169" s="24" t="s">
        <v>88</v>
      </c>
      <c r="C169" s="26"/>
      <c r="D169" s="27">
        <f>D170</f>
        <v>382463</v>
      </c>
      <c r="F169" s="11"/>
    </row>
    <row r="170" spans="1:6" s="4" customFormat="1" ht="50.25" customHeight="1" x14ac:dyDescent="0.3">
      <c r="A170" s="28" t="s">
        <v>91</v>
      </c>
      <c r="B170" s="29" t="s">
        <v>90</v>
      </c>
      <c r="C170" s="30"/>
      <c r="D170" s="31">
        <f>SUM(D171:D173)</f>
        <v>382463</v>
      </c>
      <c r="F170" s="12"/>
    </row>
    <row r="171" spans="1:6" ht="124.5" customHeight="1" x14ac:dyDescent="0.3">
      <c r="A171" s="32" t="s">
        <v>209</v>
      </c>
      <c r="B171" s="33" t="s">
        <v>92</v>
      </c>
      <c r="C171" s="34">
        <v>200</v>
      </c>
      <c r="D171" s="35">
        <f>220000+153000</f>
        <v>373000</v>
      </c>
    </row>
    <row r="172" spans="1:6" ht="88.5" customHeight="1" x14ac:dyDescent="0.3">
      <c r="A172" s="32" t="s">
        <v>557</v>
      </c>
      <c r="B172" s="33" t="s">
        <v>555</v>
      </c>
      <c r="C172" s="34">
        <v>200</v>
      </c>
      <c r="D172" s="35">
        <v>8963</v>
      </c>
    </row>
    <row r="173" spans="1:6" ht="90" customHeight="1" x14ac:dyDescent="0.3">
      <c r="A173" s="32" t="s">
        <v>557</v>
      </c>
      <c r="B173" s="33" t="s">
        <v>556</v>
      </c>
      <c r="C173" s="34">
        <v>200</v>
      </c>
      <c r="D173" s="35">
        <v>500</v>
      </c>
    </row>
    <row r="174" spans="1:6" s="5" customFormat="1" ht="87" customHeight="1" x14ac:dyDescent="0.3">
      <c r="A174" s="25" t="s">
        <v>473</v>
      </c>
      <c r="B174" s="24" t="s">
        <v>93</v>
      </c>
      <c r="C174" s="26"/>
      <c r="D174" s="27">
        <f>D175</f>
        <v>30000</v>
      </c>
      <c r="F174" s="11"/>
    </row>
    <row r="175" spans="1:6" s="4" customFormat="1" ht="66" customHeight="1" x14ac:dyDescent="0.3">
      <c r="A175" s="28" t="s">
        <v>95</v>
      </c>
      <c r="B175" s="29" t="s">
        <v>94</v>
      </c>
      <c r="C175" s="30"/>
      <c r="D175" s="31">
        <f>D176</f>
        <v>30000</v>
      </c>
      <c r="F175" s="12"/>
    </row>
    <row r="176" spans="1:6" ht="74.25" customHeight="1" x14ac:dyDescent="0.3">
      <c r="A176" s="32" t="s">
        <v>210</v>
      </c>
      <c r="B176" s="33" t="s">
        <v>96</v>
      </c>
      <c r="C176" s="34">
        <v>200</v>
      </c>
      <c r="D176" s="35">
        <v>30000</v>
      </c>
    </row>
    <row r="177" spans="1:6" s="5" customFormat="1" ht="67.5" customHeight="1" x14ac:dyDescent="0.3">
      <c r="A177" s="25" t="s">
        <v>432</v>
      </c>
      <c r="B177" s="24" t="s">
        <v>97</v>
      </c>
      <c r="C177" s="26"/>
      <c r="D177" s="27">
        <f>D178</f>
        <v>548334</v>
      </c>
      <c r="F177" s="11"/>
    </row>
    <row r="178" spans="1:6" s="4" customFormat="1" ht="49.5" customHeight="1" x14ac:dyDescent="0.3">
      <c r="A178" s="28" t="s">
        <v>272</v>
      </c>
      <c r="B178" s="29" t="s">
        <v>98</v>
      </c>
      <c r="C178" s="30"/>
      <c r="D178" s="31">
        <f>SUM(D179:D180)</f>
        <v>548334</v>
      </c>
      <c r="F178" s="12"/>
    </row>
    <row r="179" spans="1:6" ht="86.25" customHeight="1" x14ac:dyDescent="0.3">
      <c r="A179" s="36" t="s">
        <v>400</v>
      </c>
      <c r="B179" s="33" t="s">
        <v>323</v>
      </c>
      <c r="C179" s="34">
        <v>600</v>
      </c>
      <c r="D179" s="35">
        <f>240000+163334+45000</f>
        <v>448334</v>
      </c>
    </row>
    <row r="180" spans="1:6" ht="111" customHeight="1" x14ac:dyDescent="0.3">
      <c r="A180" s="32" t="s">
        <v>273</v>
      </c>
      <c r="B180" s="33" t="s">
        <v>232</v>
      </c>
      <c r="C180" s="34">
        <v>200</v>
      </c>
      <c r="D180" s="35">
        <v>100000</v>
      </c>
    </row>
    <row r="181" spans="1:6" ht="68.25" customHeight="1" x14ac:dyDescent="0.3">
      <c r="A181" s="42" t="s">
        <v>470</v>
      </c>
      <c r="B181" s="24" t="s">
        <v>324</v>
      </c>
      <c r="C181" s="34"/>
      <c r="D181" s="27">
        <f>D182+D186+D188+D190</f>
        <v>269800</v>
      </c>
    </row>
    <row r="182" spans="1:6" ht="51" customHeight="1" x14ac:dyDescent="0.3">
      <c r="A182" s="40" t="s">
        <v>325</v>
      </c>
      <c r="B182" s="29" t="s">
        <v>326</v>
      </c>
      <c r="C182" s="34"/>
      <c r="D182" s="31">
        <f>SUM(D183:D185)</f>
        <v>199800</v>
      </c>
    </row>
    <row r="183" spans="1:6" ht="87" customHeight="1" x14ac:dyDescent="0.3">
      <c r="A183" s="36" t="s">
        <v>401</v>
      </c>
      <c r="B183" s="33" t="s">
        <v>327</v>
      </c>
      <c r="C183" s="34">
        <v>200</v>
      </c>
      <c r="D183" s="35">
        <f>165000+20000-20000-10000</f>
        <v>155000</v>
      </c>
    </row>
    <row r="184" spans="1:6" ht="87" customHeight="1" x14ac:dyDescent="0.3">
      <c r="A184" s="36" t="s">
        <v>546</v>
      </c>
      <c r="B184" s="33" t="s">
        <v>547</v>
      </c>
      <c r="C184" s="34">
        <v>200</v>
      </c>
      <c r="D184" s="35">
        <v>20000</v>
      </c>
    </row>
    <row r="185" spans="1:6" ht="87" customHeight="1" x14ac:dyDescent="0.3">
      <c r="A185" s="36" t="s">
        <v>548</v>
      </c>
      <c r="B185" s="33" t="s">
        <v>549</v>
      </c>
      <c r="C185" s="34">
        <v>200</v>
      </c>
      <c r="D185" s="35">
        <v>24800</v>
      </c>
    </row>
    <row r="186" spans="1:6" ht="53.25" customHeight="1" x14ac:dyDescent="0.3">
      <c r="A186" s="40" t="s">
        <v>328</v>
      </c>
      <c r="B186" s="29" t="s">
        <v>329</v>
      </c>
      <c r="C186" s="34"/>
      <c r="D186" s="31">
        <f>D187</f>
        <v>50000</v>
      </c>
    </row>
    <row r="187" spans="1:6" ht="80.25" customHeight="1" x14ac:dyDescent="0.3">
      <c r="A187" s="36" t="s">
        <v>402</v>
      </c>
      <c r="B187" s="33" t="s">
        <v>330</v>
      </c>
      <c r="C187" s="34">
        <v>600</v>
      </c>
      <c r="D187" s="35">
        <v>50000</v>
      </c>
    </row>
    <row r="188" spans="1:6" ht="53.25" customHeight="1" x14ac:dyDescent="0.3">
      <c r="A188" s="40" t="s">
        <v>331</v>
      </c>
      <c r="B188" s="29" t="s">
        <v>332</v>
      </c>
      <c r="C188" s="34"/>
      <c r="D188" s="31">
        <f>D189</f>
        <v>12000</v>
      </c>
    </row>
    <row r="189" spans="1:6" ht="66.75" customHeight="1" x14ac:dyDescent="0.3">
      <c r="A189" s="36" t="s">
        <v>403</v>
      </c>
      <c r="B189" s="33" t="s">
        <v>333</v>
      </c>
      <c r="C189" s="34">
        <v>600</v>
      </c>
      <c r="D189" s="35">
        <f>4000+8000</f>
        <v>12000</v>
      </c>
    </row>
    <row r="190" spans="1:6" ht="50.25" customHeight="1" x14ac:dyDescent="0.3">
      <c r="A190" s="40" t="s">
        <v>166</v>
      </c>
      <c r="B190" s="29" t="s">
        <v>334</v>
      </c>
      <c r="C190" s="30"/>
      <c r="D190" s="31">
        <f>D191</f>
        <v>8000</v>
      </c>
    </row>
    <row r="191" spans="1:6" ht="88.5" customHeight="1" x14ac:dyDescent="0.3">
      <c r="A191" s="36" t="s">
        <v>404</v>
      </c>
      <c r="B191" s="33" t="s">
        <v>335</v>
      </c>
      <c r="C191" s="34">
        <v>600</v>
      </c>
      <c r="D191" s="35">
        <f>5000+3000</f>
        <v>8000</v>
      </c>
    </row>
    <row r="192" spans="1:6" s="5" customFormat="1" ht="109.5" customHeight="1" x14ac:dyDescent="0.3">
      <c r="A192" s="25" t="s">
        <v>352</v>
      </c>
      <c r="B192" s="24" t="s">
        <v>99</v>
      </c>
      <c r="C192" s="26"/>
      <c r="D192" s="27">
        <f>D193+D199+D205</f>
        <v>2802719.96</v>
      </c>
      <c r="F192" s="11"/>
    </row>
    <row r="193" spans="1:6" s="5" customFormat="1" ht="53.25" customHeight="1" x14ac:dyDescent="0.3">
      <c r="A193" s="25" t="s">
        <v>274</v>
      </c>
      <c r="B193" s="24" t="s">
        <v>100</v>
      </c>
      <c r="C193" s="26"/>
      <c r="D193" s="27">
        <f>D194</f>
        <v>307900</v>
      </c>
      <c r="F193" s="11"/>
    </row>
    <row r="194" spans="1:6" s="4" customFormat="1" ht="66.75" customHeight="1" x14ac:dyDescent="0.3">
      <c r="A194" s="40" t="s">
        <v>353</v>
      </c>
      <c r="B194" s="29" t="s">
        <v>354</v>
      </c>
      <c r="C194" s="30"/>
      <c r="D194" s="31">
        <f>SUM(D195:D198)</f>
        <v>307900</v>
      </c>
      <c r="F194" s="12"/>
    </row>
    <row r="195" spans="1:6" ht="107.25" customHeight="1" x14ac:dyDescent="0.3">
      <c r="A195" s="32" t="s">
        <v>211</v>
      </c>
      <c r="B195" s="33" t="s">
        <v>355</v>
      </c>
      <c r="C195" s="34">
        <v>200</v>
      </c>
      <c r="D195" s="35">
        <v>18800</v>
      </c>
    </row>
    <row r="196" spans="1:6" ht="108" customHeight="1" x14ac:dyDescent="0.3">
      <c r="A196" s="32" t="s">
        <v>212</v>
      </c>
      <c r="B196" s="33" t="s">
        <v>356</v>
      </c>
      <c r="C196" s="34">
        <v>200</v>
      </c>
      <c r="D196" s="35">
        <v>4300</v>
      </c>
    </row>
    <row r="197" spans="1:6" ht="109.5" customHeight="1" x14ac:dyDescent="0.3">
      <c r="A197" s="32" t="s">
        <v>275</v>
      </c>
      <c r="B197" s="33" t="s">
        <v>357</v>
      </c>
      <c r="C197" s="34">
        <v>200</v>
      </c>
      <c r="D197" s="35">
        <f>204800+15000+45000</f>
        <v>264800</v>
      </c>
    </row>
    <row r="198" spans="1:6" ht="79.5" customHeight="1" x14ac:dyDescent="0.3">
      <c r="A198" s="32" t="s">
        <v>558</v>
      </c>
      <c r="B198" s="33" t="s">
        <v>559</v>
      </c>
      <c r="C198" s="34">
        <v>200</v>
      </c>
      <c r="D198" s="35">
        <f>20000</f>
        <v>20000</v>
      </c>
    </row>
    <row r="199" spans="1:6" s="5" customFormat="1" ht="54.75" customHeight="1" x14ac:dyDescent="0.3">
      <c r="A199" s="25" t="s">
        <v>276</v>
      </c>
      <c r="B199" s="24" t="s">
        <v>101</v>
      </c>
      <c r="C199" s="26"/>
      <c r="D199" s="27">
        <f>D200</f>
        <v>431000</v>
      </c>
      <c r="F199" s="11"/>
    </row>
    <row r="200" spans="1:6" s="4" customFormat="1" ht="66.75" customHeight="1" x14ac:dyDescent="0.3">
      <c r="A200" s="40" t="s">
        <v>358</v>
      </c>
      <c r="B200" s="29" t="s">
        <v>359</v>
      </c>
      <c r="C200" s="30"/>
      <c r="D200" s="31">
        <f>SUM(D201:D204)</f>
        <v>431000</v>
      </c>
      <c r="F200" s="12"/>
    </row>
    <row r="201" spans="1:6" s="4" customFormat="1" ht="144" customHeight="1" x14ac:dyDescent="0.3">
      <c r="A201" s="47" t="s">
        <v>571</v>
      </c>
      <c r="B201" s="33" t="s">
        <v>360</v>
      </c>
      <c r="C201" s="34">
        <v>100</v>
      </c>
      <c r="D201" s="35">
        <v>30000</v>
      </c>
      <c r="F201" s="12"/>
    </row>
    <row r="202" spans="1:6" ht="95.25" customHeight="1" x14ac:dyDescent="0.3">
      <c r="A202" s="47" t="s">
        <v>451</v>
      </c>
      <c r="B202" s="33" t="s">
        <v>360</v>
      </c>
      <c r="C202" s="34">
        <v>200</v>
      </c>
      <c r="D202" s="35">
        <f>110300-5000+30000-30000</f>
        <v>105300</v>
      </c>
    </row>
    <row r="203" spans="1:6" ht="72" customHeight="1" x14ac:dyDescent="0.3">
      <c r="A203" s="47" t="s">
        <v>532</v>
      </c>
      <c r="B203" s="33" t="s">
        <v>360</v>
      </c>
      <c r="C203" s="34">
        <v>800</v>
      </c>
      <c r="D203" s="35">
        <f>5000+20000-20000+20000</f>
        <v>25000</v>
      </c>
    </row>
    <row r="204" spans="1:6" ht="88.5" customHeight="1" x14ac:dyDescent="0.3">
      <c r="A204" s="36" t="s">
        <v>472</v>
      </c>
      <c r="B204" s="33" t="s">
        <v>452</v>
      </c>
      <c r="C204" s="34">
        <v>600</v>
      </c>
      <c r="D204" s="35">
        <v>270700</v>
      </c>
    </row>
    <row r="205" spans="1:6" ht="69.75" customHeight="1" x14ac:dyDescent="0.3">
      <c r="A205" s="42" t="s">
        <v>362</v>
      </c>
      <c r="B205" s="24" t="s">
        <v>361</v>
      </c>
      <c r="C205" s="34"/>
      <c r="D205" s="27">
        <f>D207</f>
        <v>2063819.96</v>
      </c>
    </row>
    <row r="206" spans="1:6" ht="12" hidden="1" customHeight="1" x14ac:dyDescent="0.3">
      <c r="A206" s="32" t="s">
        <v>195</v>
      </c>
      <c r="B206" s="33"/>
      <c r="C206" s="34"/>
      <c r="D206" s="35"/>
    </row>
    <row r="207" spans="1:6" ht="68.25" customHeight="1" x14ac:dyDescent="0.3">
      <c r="A207" s="40" t="s">
        <v>363</v>
      </c>
      <c r="B207" s="29" t="s">
        <v>364</v>
      </c>
      <c r="C207" s="34"/>
      <c r="D207" s="31">
        <f>SUM(D208:D215)</f>
        <v>2063819.96</v>
      </c>
    </row>
    <row r="208" spans="1:6" ht="124.5" customHeight="1" x14ac:dyDescent="0.3">
      <c r="A208" s="36" t="s">
        <v>409</v>
      </c>
      <c r="B208" s="33" t="s">
        <v>433</v>
      </c>
      <c r="C208" s="34">
        <v>100</v>
      </c>
      <c r="D208" s="35">
        <f>1266271.93+36919.07+1863.14+198300.82</f>
        <v>1503354.96</v>
      </c>
    </row>
    <row r="209" spans="1:6" ht="87" customHeight="1" x14ac:dyDescent="0.3">
      <c r="A209" s="36" t="s">
        <v>408</v>
      </c>
      <c r="B209" s="33" t="s">
        <v>433</v>
      </c>
      <c r="C209" s="34">
        <v>200</v>
      </c>
      <c r="D209" s="35">
        <f>104185+25000+85000+1780-12000</f>
        <v>203965</v>
      </c>
    </row>
    <row r="210" spans="1:6" ht="69.75" customHeight="1" x14ac:dyDescent="0.3">
      <c r="A210" s="36" t="s">
        <v>446</v>
      </c>
      <c r="B210" s="33" t="s">
        <v>433</v>
      </c>
      <c r="C210" s="34">
        <v>800</v>
      </c>
      <c r="D210" s="35">
        <v>1500</v>
      </c>
    </row>
    <row r="211" spans="1:6" s="4" customFormat="1" ht="65.25" customHeight="1" x14ac:dyDescent="0.3">
      <c r="A211" s="36" t="s">
        <v>405</v>
      </c>
      <c r="B211" s="33" t="s">
        <v>365</v>
      </c>
      <c r="C211" s="34">
        <v>200</v>
      </c>
      <c r="D211" s="35">
        <v>10000</v>
      </c>
      <c r="F211" s="12"/>
    </row>
    <row r="212" spans="1:6" ht="68.25" customHeight="1" x14ac:dyDescent="0.3">
      <c r="A212" s="36" t="s">
        <v>406</v>
      </c>
      <c r="B212" s="33" t="s">
        <v>366</v>
      </c>
      <c r="C212" s="34">
        <v>200</v>
      </c>
      <c r="D212" s="35">
        <v>10000</v>
      </c>
    </row>
    <row r="213" spans="1:6" ht="89.25" customHeight="1" x14ac:dyDescent="0.3">
      <c r="A213" s="36" t="s">
        <v>407</v>
      </c>
      <c r="B213" s="33" t="s">
        <v>367</v>
      </c>
      <c r="C213" s="34">
        <v>200</v>
      </c>
      <c r="D213" s="35">
        <f>121000+10000+90000+50000+20000</f>
        <v>291000</v>
      </c>
    </row>
    <row r="214" spans="1:6" ht="49.5" customHeight="1" x14ac:dyDescent="0.3">
      <c r="A214" s="48" t="s">
        <v>461</v>
      </c>
      <c r="B214" s="33" t="s">
        <v>367</v>
      </c>
      <c r="C214" s="34">
        <v>800</v>
      </c>
      <c r="D214" s="35">
        <f>20000-20000</f>
        <v>0</v>
      </c>
    </row>
    <row r="215" spans="1:6" ht="100.5" customHeight="1" x14ac:dyDescent="0.3">
      <c r="A215" s="36" t="s">
        <v>600</v>
      </c>
      <c r="B215" s="33" t="s">
        <v>368</v>
      </c>
      <c r="C215" s="34">
        <v>600</v>
      </c>
      <c r="D215" s="35">
        <v>44000</v>
      </c>
    </row>
    <row r="216" spans="1:6" s="5" customFormat="1" ht="65.25" customHeight="1" x14ac:dyDescent="0.3">
      <c r="A216" s="25" t="s">
        <v>277</v>
      </c>
      <c r="B216" s="24" t="s">
        <v>102</v>
      </c>
      <c r="C216" s="26"/>
      <c r="D216" s="27">
        <f>D217+D223+D228+D232</f>
        <v>2024666.67</v>
      </c>
      <c r="F216" s="11"/>
    </row>
    <row r="217" spans="1:6" s="5" customFormat="1" ht="46.5" customHeight="1" x14ac:dyDescent="0.3">
      <c r="A217" s="25" t="s">
        <v>278</v>
      </c>
      <c r="B217" s="24" t="s">
        <v>103</v>
      </c>
      <c r="C217" s="26"/>
      <c r="D217" s="27">
        <f>D218</f>
        <v>135000</v>
      </c>
      <c r="F217" s="11"/>
    </row>
    <row r="218" spans="1:6" s="4" customFormat="1" ht="55.5" customHeight="1" x14ac:dyDescent="0.3">
      <c r="A218" s="28" t="s">
        <v>279</v>
      </c>
      <c r="B218" s="29" t="s">
        <v>104</v>
      </c>
      <c r="C218" s="30"/>
      <c r="D218" s="31">
        <f>SUM(D219:D222)</f>
        <v>135000</v>
      </c>
      <c r="F218" s="12"/>
    </row>
    <row r="219" spans="1:6" ht="111" customHeight="1" x14ac:dyDescent="0.3">
      <c r="A219" s="36" t="s">
        <v>411</v>
      </c>
      <c r="B219" s="33" t="s">
        <v>105</v>
      </c>
      <c r="C219" s="34">
        <v>800</v>
      </c>
      <c r="D219" s="35">
        <v>45000</v>
      </c>
    </row>
    <row r="220" spans="1:6" ht="111" customHeight="1" x14ac:dyDescent="0.3">
      <c r="A220" s="36" t="s">
        <v>413</v>
      </c>
      <c r="B220" s="33" t="s">
        <v>106</v>
      </c>
      <c r="C220" s="34">
        <v>800</v>
      </c>
      <c r="D220" s="35">
        <v>45000</v>
      </c>
    </row>
    <row r="221" spans="1:6" ht="111" customHeight="1" x14ac:dyDescent="0.3">
      <c r="A221" s="36" t="s">
        <v>410</v>
      </c>
      <c r="B221" s="33" t="s">
        <v>369</v>
      </c>
      <c r="C221" s="34">
        <v>800</v>
      </c>
      <c r="D221" s="35">
        <v>20000</v>
      </c>
    </row>
    <row r="222" spans="1:6" ht="87" customHeight="1" x14ac:dyDescent="0.3">
      <c r="A222" s="36" t="s">
        <v>412</v>
      </c>
      <c r="B222" s="33" t="s">
        <v>370</v>
      </c>
      <c r="C222" s="34">
        <v>800</v>
      </c>
      <c r="D222" s="35">
        <v>25000</v>
      </c>
    </row>
    <row r="223" spans="1:6" s="5" customFormat="1" ht="72" customHeight="1" x14ac:dyDescent="0.3">
      <c r="A223" s="25" t="s">
        <v>280</v>
      </c>
      <c r="B223" s="24" t="s">
        <v>107</v>
      </c>
      <c r="C223" s="26"/>
      <c r="D223" s="27">
        <f>D224</f>
        <v>1135166.67</v>
      </c>
      <c r="F223" s="11"/>
    </row>
    <row r="224" spans="1:6" s="4" customFormat="1" ht="50.25" customHeight="1" x14ac:dyDescent="0.3">
      <c r="A224" s="28" t="s">
        <v>281</v>
      </c>
      <c r="B224" s="29" t="s">
        <v>108</v>
      </c>
      <c r="C224" s="30"/>
      <c r="D224" s="31">
        <f>SUM(D225:D227)</f>
        <v>1135166.67</v>
      </c>
      <c r="F224" s="12"/>
    </row>
    <row r="225" spans="1:6" ht="111.75" customHeight="1" x14ac:dyDescent="0.3">
      <c r="A225" s="32" t="s">
        <v>282</v>
      </c>
      <c r="B225" s="33" t="s">
        <v>109</v>
      </c>
      <c r="C225" s="34">
        <v>200</v>
      </c>
      <c r="D225" s="35">
        <f>240000+168733.33+60766.67</f>
        <v>469499.99999999994</v>
      </c>
    </row>
    <row r="226" spans="1:6" ht="77.25" customHeight="1" x14ac:dyDescent="0.3">
      <c r="A226" s="32" t="s">
        <v>572</v>
      </c>
      <c r="B226" s="33" t="s">
        <v>573</v>
      </c>
      <c r="C226" s="34">
        <v>200</v>
      </c>
      <c r="D226" s="35">
        <v>281666.67</v>
      </c>
    </row>
    <row r="227" spans="1:6" ht="66.75" customHeight="1" x14ac:dyDescent="0.3">
      <c r="A227" s="36" t="s">
        <v>414</v>
      </c>
      <c r="B227" s="33" t="s">
        <v>371</v>
      </c>
      <c r="C227" s="34">
        <v>200</v>
      </c>
      <c r="D227" s="35">
        <v>384000</v>
      </c>
    </row>
    <row r="228" spans="1:6" s="5" customFormat="1" ht="90" customHeight="1" x14ac:dyDescent="0.3">
      <c r="A228" s="25" t="s">
        <v>283</v>
      </c>
      <c r="B228" s="24" t="s">
        <v>110</v>
      </c>
      <c r="C228" s="26"/>
      <c r="D228" s="27">
        <f>D229</f>
        <v>244500</v>
      </c>
      <c r="F228" s="11"/>
    </row>
    <row r="229" spans="1:6" s="4" customFormat="1" ht="47.25" customHeight="1" x14ac:dyDescent="0.3">
      <c r="A229" s="28" t="s">
        <v>284</v>
      </c>
      <c r="B229" s="29" t="s">
        <v>111</v>
      </c>
      <c r="C229" s="30"/>
      <c r="D229" s="31">
        <f>SUM(D230:D231)</f>
        <v>244500</v>
      </c>
      <c r="F229" s="12"/>
    </row>
    <row r="230" spans="1:6" s="4" customFormat="1" ht="106.5" customHeight="1" x14ac:dyDescent="0.3">
      <c r="A230" s="32" t="s">
        <v>426</v>
      </c>
      <c r="B230" s="33" t="s">
        <v>424</v>
      </c>
      <c r="C230" s="34">
        <v>200</v>
      </c>
      <c r="D230" s="35">
        <f>300000-155500</f>
        <v>144500</v>
      </c>
      <c r="F230" s="12"/>
    </row>
    <row r="231" spans="1:6" ht="106.5" customHeight="1" x14ac:dyDescent="0.3">
      <c r="A231" s="32" t="s">
        <v>425</v>
      </c>
      <c r="B231" s="33" t="s">
        <v>453</v>
      </c>
      <c r="C231" s="34">
        <v>200</v>
      </c>
      <c r="D231" s="35">
        <v>100000</v>
      </c>
    </row>
    <row r="232" spans="1:6" ht="120.75" customHeight="1" x14ac:dyDescent="0.3">
      <c r="A232" s="42" t="s">
        <v>372</v>
      </c>
      <c r="B232" s="24" t="s">
        <v>373</v>
      </c>
      <c r="C232" s="34"/>
      <c r="D232" s="27">
        <f>D233</f>
        <v>510000</v>
      </c>
    </row>
    <row r="233" spans="1:6" ht="102.75" customHeight="1" x14ac:dyDescent="0.3">
      <c r="A233" s="40" t="s">
        <v>423</v>
      </c>
      <c r="B233" s="29" t="s">
        <v>374</v>
      </c>
      <c r="C233" s="34"/>
      <c r="D233" s="31">
        <f>SUM(D234:D235)</f>
        <v>510000</v>
      </c>
    </row>
    <row r="234" spans="1:6" ht="105.75" customHeight="1" x14ac:dyDescent="0.3">
      <c r="A234" s="37" t="s">
        <v>554</v>
      </c>
      <c r="B234" s="33" t="s">
        <v>552</v>
      </c>
      <c r="C234" s="34">
        <v>200</v>
      </c>
      <c r="D234" s="35">
        <v>504900</v>
      </c>
    </row>
    <row r="235" spans="1:6" ht="105.75" customHeight="1" x14ac:dyDescent="0.3">
      <c r="A235" s="37" t="s">
        <v>554</v>
      </c>
      <c r="B235" s="33" t="s">
        <v>553</v>
      </c>
      <c r="C235" s="34">
        <v>200</v>
      </c>
      <c r="D235" s="35">
        <v>5100</v>
      </c>
    </row>
    <row r="236" spans="1:6" ht="90" customHeight="1" x14ac:dyDescent="0.3">
      <c r="A236" s="25" t="s">
        <v>434</v>
      </c>
      <c r="B236" s="24" t="s">
        <v>112</v>
      </c>
      <c r="C236" s="26"/>
      <c r="D236" s="27">
        <f>D237</f>
        <v>176475.47</v>
      </c>
    </row>
    <row r="237" spans="1:6" s="5" customFormat="1" ht="68.25" customHeight="1" x14ac:dyDescent="0.3">
      <c r="A237" s="25" t="s">
        <v>285</v>
      </c>
      <c r="B237" s="24" t="s">
        <v>113</v>
      </c>
      <c r="C237" s="26"/>
      <c r="D237" s="27">
        <f>D238</f>
        <v>176475.47</v>
      </c>
      <c r="F237" s="11"/>
    </row>
    <row r="238" spans="1:6" s="5" customFormat="1" ht="70.5" customHeight="1" x14ac:dyDescent="0.3">
      <c r="A238" s="28" t="s">
        <v>286</v>
      </c>
      <c r="B238" s="29" t="s">
        <v>114</v>
      </c>
      <c r="C238" s="30"/>
      <c r="D238" s="31">
        <f>SUM(D239:D239)</f>
        <v>176475.47</v>
      </c>
      <c r="F238" s="11"/>
    </row>
    <row r="239" spans="1:6" s="4" customFormat="1" ht="114" customHeight="1" x14ac:dyDescent="0.3">
      <c r="A239" s="32" t="s">
        <v>287</v>
      </c>
      <c r="B239" s="33" t="s">
        <v>115</v>
      </c>
      <c r="C239" s="34">
        <v>200</v>
      </c>
      <c r="D239" s="35">
        <f>211619.12-26153.92-8989.73</f>
        <v>176475.47</v>
      </c>
      <c r="F239" s="12"/>
    </row>
    <row r="240" spans="1:6" ht="107.25" customHeight="1" x14ac:dyDescent="0.3">
      <c r="A240" s="25" t="s">
        <v>117</v>
      </c>
      <c r="B240" s="24" t="s">
        <v>116</v>
      </c>
      <c r="C240" s="26"/>
      <c r="D240" s="27">
        <f>D241+D251+D254</f>
        <v>414297.86</v>
      </c>
    </row>
    <row r="241" spans="1:6" ht="89.25" customHeight="1" x14ac:dyDescent="0.3">
      <c r="A241" s="25" t="s">
        <v>220</v>
      </c>
      <c r="B241" s="24" t="s">
        <v>118</v>
      </c>
      <c r="C241" s="26"/>
      <c r="D241" s="27">
        <f>D242+D245</f>
        <v>192543</v>
      </c>
    </row>
    <row r="242" spans="1:6" ht="66" customHeight="1" x14ac:dyDescent="0.3">
      <c r="A242" s="28" t="s">
        <v>120</v>
      </c>
      <c r="B242" s="29" t="s">
        <v>119</v>
      </c>
      <c r="C242" s="30"/>
      <c r="D242" s="31">
        <f>SUM(D243:D244)</f>
        <v>20000</v>
      </c>
    </row>
    <row r="243" spans="1:6" s="5" customFormat="1" ht="105" customHeight="1" x14ac:dyDescent="0.3">
      <c r="A243" s="32" t="s">
        <v>213</v>
      </c>
      <c r="B243" s="33" t="s">
        <v>121</v>
      </c>
      <c r="C243" s="34">
        <v>200</v>
      </c>
      <c r="D243" s="35">
        <v>10000</v>
      </c>
      <c r="F243" s="11"/>
    </row>
    <row r="244" spans="1:6" s="5" customFormat="1" ht="86.25" customHeight="1" x14ac:dyDescent="0.3">
      <c r="A244" s="32" t="s">
        <v>415</v>
      </c>
      <c r="B244" s="33" t="s">
        <v>122</v>
      </c>
      <c r="C244" s="34">
        <v>200</v>
      </c>
      <c r="D244" s="35">
        <v>10000</v>
      </c>
      <c r="F244" s="11"/>
    </row>
    <row r="245" spans="1:6" ht="69" customHeight="1" x14ac:dyDescent="0.3">
      <c r="A245" s="28" t="s">
        <v>124</v>
      </c>
      <c r="B245" s="29" t="s">
        <v>123</v>
      </c>
      <c r="C245" s="30"/>
      <c r="D245" s="31">
        <f>SUM(D246:D250)</f>
        <v>172543</v>
      </c>
    </row>
    <row r="246" spans="1:6" ht="87.75" customHeight="1" x14ac:dyDescent="0.3">
      <c r="A246" s="32" t="s">
        <v>214</v>
      </c>
      <c r="B246" s="33" t="s">
        <v>125</v>
      </c>
      <c r="C246" s="34">
        <v>200</v>
      </c>
      <c r="D246" s="35">
        <v>10000</v>
      </c>
    </row>
    <row r="247" spans="1:6" ht="85.5" customHeight="1" x14ac:dyDescent="0.3">
      <c r="A247" s="32" t="s">
        <v>219</v>
      </c>
      <c r="B247" s="33" t="s">
        <v>125</v>
      </c>
      <c r="C247" s="34">
        <v>600</v>
      </c>
      <c r="D247" s="35">
        <v>20000</v>
      </c>
    </row>
    <row r="248" spans="1:6" s="4" customFormat="1" ht="88.5" customHeight="1" x14ac:dyDescent="0.3">
      <c r="A248" s="32" t="s">
        <v>196</v>
      </c>
      <c r="B248" s="33" t="s">
        <v>126</v>
      </c>
      <c r="C248" s="34">
        <v>600</v>
      </c>
      <c r="D248" s="35">
        <v>10000</v>
      </c>
      <c r="F248" s="12"/>
    </row>
    <row r="249" spans="1:6" s="4" customFormat="1" ht="88.5" customHeight="1" x14ac:dyDescent="0.3">
      <c r="A249" s="32" t="s">
        <v>579</v>
      </c>
      <c r="B249" s="33" t="s">
        <v>574</v>
      </c>
      <c r="C249" s="34">
        <v>200</v>
      </c>
      <c r="D249" s="35">
        <v>90214</v>
      </c>
      <c r="F249" s="12"/>
    </row>
    <row r="250" spans="1:6" s="4" customFormat="1" ht="88.5" customHeight="1" x14ac:dyDescent="0.3">
      <c r="A250" s="32" t="s">
        <v>575</v>
      </c>
      <c r="B250" s="33" t="s">
        <v>574</v>
      </c>
      <c r="C250" s="34">
        <v>600</v>
      </c>
      <c r="D250" s="35">
        <v>42329</v>
      </c>
      <c r="F250" s="12"/>
    </row>
    <row r="251" spans="1:6" ht="144.75" customHeight="1" x14ac:dyDescent="0.3">
      <c r="A251" s="25" t="s">
        <v>456</v>
      </c>
      <c r="B251" s="24" t="s">
        <v>127</v>
      </c>
      <c r="C251" s="26"/>
      <c r="D251" s="27">
        <f>D252</f>
        <v>110000</v>
      </c>
    </row>
    <row r="252" spans="1:6" ht="63" customHeight="1" x14ac:dyDescent="0.3">
      <c r="A252" s="28" t="s">
        <v>457</v>
      </c>
      <c r="B252" s="29" t="s">
        <v>128</v>
      </c>
      <c r="C252" s="30"/>
      <c r="D252" s="31">
        <f>D253</f>
        <v>110000</v>
      </c>
    </row>
    <row r="253" spans="1:6" ht="145.5" customHeight="1" x14ac:dyDescent="0.3">
      <c r="A253" s="32" t="s">
        <v>458</v>
      </c>
      <c r="B253" s="33" t="s">
        <v>129</v>
      </c>
      <c r="C253" s="34">
        <v>600</v>
      </c>
      <c r="D253" s="35">
        <f>154800-44800</f>
        <v>110000</v>
      </c>
    </row>
    <row r="254" spans="1:6" ht="109.5" customHeight="1" x14ac:dyDescent="0.3">
      <c r="A254" s="25" t="s">
        <v>533</v>
      </c>
      <c r="B254" s="24" t="s">
        <v>534</v>
      </c>
      <c r="C254" s="26"/>
      <c r="D254" s="27">
        <f>D255</f>
        <v>111754.85999999999</v>
      </c>
    </row>
    <row r="255" spans="1:6" ht="156" customHeight="1" x14ac:dyDescent="0.3">
      <c r="A255" s="28" t="s">
        <v>576</v>
      </c>
      <c r="B255" s="29" t="s">
        <v>535</v>
      </c>
      <c r="C255" s="30"/>
      <c r="D255" s="31">
        <f>SUM(D256:D257)</f>
        <v>111754.85999999999</v>
      </c>
    </row>
    <row r="256" spans="1:6" ht="108" customHeight="1" x14ac:dyDescent="0.3">
      <c r="A256" s="32" t="s">
        <v>544</v>
      </c>
      <c r="B256" s="33" t="s">
        <v>536</v>
      </c>
      <c r="C256" s="34">
        <v>300</v>
      </c>
      <c r="D256" s="35">
        <f>114526-59992.48</f>
        <v>54533.52</v>
      </c>
    </row>
    <row r="257" spans="1:9" ht="119.25" customHeight="1" x14ac:dyDescent="0.3">
      <c r="A257" s="32" t="s">
        <v>545</v>
      </c>
      <c r="B257" s="33" t="s">
        <v>537</v>
      </c>
      <c r="C257" s="34">
        <v>300</v>
      </c>
      <c r="D257" s="35">
        <f>85474-28252.66</f>
        <v>57221.34</v>
      </c>
    </row>
    <row r="258" spans="1:9" s="5" customFormat="1" ht="87.75" customHeight="1" x14ac:dyDescent="0.3">
      <c r="A258" s="25" t="s">
        <v>288</v>
      </c>
      <c r="B258" s="24" t="s">
        <v>130</v>
      </c>
      <c r="C258" s="26"/>
      <c r="D258" s="27">
        <f>D259+D273+D277</f>
        <v>45273212.690000005</v>
      </c>
      <c r="F258" s="11"/>
    </row>
    <row r="259" spans="1:9" s="4" customFormat="1" ht="89.25" customHeight="1" x14ac:dyDescent="0.3">
      <c r="A259" s="25" t="s">
        <v>289</v>
      </c>
      <c r="B259" s="24" t="s">
        <v>131</v>
      </c>
      <c r="C259" s="26"/>
      <c r="D259" s="27">
        <f>D260+D262+D266+D269</f>
        <v>38941616.630000003</v>
      </c>
      <c r="F259" s="12"/>
    </row>
    <row r="260" spans="1:9" ht="56.25" x14ac:dyDescent="0.3">
      <c r="A260" s="28" t="s">
        <v>133</v>
      </c>
      <c r="B260" s="29" t="s">
        <v>132</v>
      </c>
      <c r="C260" s="30"/>
      <c r="D260" s="31">
        <f>D261</f>
        <v>1001804</v>
      </c>
    </row>
    <row r="261" spans="1:9" ht="126" customHeight="1" x14ac:dyDescent="0.3">
      <c r="A261" s="32" t="s">
        <v>182</v>
      </c>
      <c r="B261" s="33" t="s">
        <v>134</v>
      </c>
      <c r="C261" s="34">
        <v>100</v>
      </c>
      <c r="D261" s="35">
        <v>1001804</v>
      </c>
    </row>
    <row r="262" spans="1:9" s="5" customFormat="1" ht="89.25" customHeight="1" x14ac:dyDescent="0.3">
      <c r="A262" s="28" t="s">
        <v>290</v>
      </c>
      <c r="B262" s="29" t="s">
        <v>135</v>
      </c>
      <c r="C262" s="30"/>
      <c r="D262" s="31">
        <f>SUM(D263:D265)</f>
        <v>37398383.130000003</v>
      </c>
      <c r="F262" s="11"/>
    </row>
    <row r="263" spans="1:9" s="4" customFormat="1" ht="168.75" x14ac:dyDescent="0.3">
      <c r="A263" s="32" t="s">
        <v>291</v>
      </c>
      <c r="B263" s="33" t="s">
        <v>136</v>
      </c>
      <c r="C263" s="34">
        <v>100</v>
      </c>
      <c r="D263" s="35">
        <f>32173409.75+615660.28+9504.93-576966.46+164473.63+1501.67+2343.6+86521.16+700</f>
        <v>32477148.560000002</v>
      </c>
      <c r="F263" s="12"/>
      <c r="G263" s="17"/>
      <c r="H263" s="20"/>
      <c r="I263" s="17"/>
    </row>
    <row r="264" spans="1:9" ht="110.25" customHeight="1" x14ac:dyDescent="0.3">
      <c r="A264" s="32" t="s">
        <v>435</v>
      </c>
      <c r="B264" s="33" t="s">
        <v>136</v>
      </c>
      <c r="C264" s="34">
        <v>200</v>
      </c>
      <c r="D264" s="35">
        <f>-50000+3968961.52+70000+124150+99844.72-850+198000+2300+196050.54-2343.6+45597.92-700+3729+50000-54056+1000+6033.47+5925+50000+34600</f>
        <v>4748242.57</v>
      </c>
      <c r="F264" s="18"/>
    </row>
    <row r="265" spans="1:9" s="5" customFormat="1" ht="93" customHeight="1" x14ac:dyDescent="0.3">
      <c r="A265" s="32" t="s">
        <v>292</v>
      </c>
      <c r="B265" s="33" t="s">
        <v>136</v>
      </c>
      <c r="C265" s="34">
        <v>800</v>
      </c>
      <c r="D265" s="35">
        <f>50000+129492+850+3050-10400</f>
        <v>172992</v>
      </c>
      <c r="F265" s="19"/>
    </row>
    <row r="266" spans="1:9" s="4" customFormat="1" ht="75" customHeight="1" x14ac:dyDescent="0.3">
      <c r="A266" s="28" t="s">
        <v>293</v>
      </c>
      <c r="B266" s="29" t="s">
        <v>137</v>
      </c>
      <c r="C266" s="30"/>
      <c r="D266" s="31">
        <f>SUM(D267:D268)</f>
        <v>119881</v>
      </c>
      <c r="F266" s="12"/>
    </row>
    <row r="267" spans="1:9" s="4" customFormat="1" ht="128.25" customHeight="1" x14ac:dyDescent="0.3">
      <c r="A267" s="49" t="s">
        <v>294</v>
      </c>
      <c r="B267" s="33" t="s">
        <v>177</v>
      </c>
      <c r="C267" s="34">
        <v>200</v>
      </c>
      <c r="D267" s="35">
        <f>63000+28000+13000-1375-1000</f>
        <v>101625</v>
      </c>
      <c r="F267" s="12"/>
    </row>
    <row r="268" spans="1:9" ht="86.25" customHeight="1" x14ac:dyDescent="0.3">
      <c r="A268" s="36" t="s">
        <v>416</v>
      </c>
      <c r="B268" s="33" t="s">
        <v>375</v>
      </c>
      <c r="C268" s="34">
        <v>200</v>
      </c>
      <c r="D268" s="35">
        <f>9200+5500+6500-2944</f>
        <v>18256</v>
      </c>
    </row>
    <row r="269" spans="1:9" ht="71.25" customHeight="1" x14ac:dyDescent="0.3">
      <c r="A269" s="28" t="s">
        <v>139</v>
      </c>
      <c r="B269" s="29" t="s">
        <v>138</v>
      </c>
      <c r="C269" s="30"/>
      <c r="D269" s="31">
        <f>SUM(D270:D272)</f>
        <v>421548.5</v>
      </c>
    </row>
    <row r="270" spans="1:9" ht="105" customHeight="1" x14ac:dyDescent="0.3">
      <c r="A270" s="32" t="s">
        <v>229</v>
      </c>
      <c r="B270" s="33" t="s">
        <v>140</v>
      </c>
      <c r="C270" s="34">
        <v>200</v>
      </c>
      <c r="D270" s="35">
        <v>11856.5</v>
      </c>
    </row>
    <row r="271" spans="1:9" ht="159.75" customHeight="1" x14ac:dyDescent="0.3">
      <c r="A271" s="47" t="s">
        <v>230</v>
      </c>
      <c r="B271" s="33" t="s">
        <v>141</v>
      </c>
      <c r="C271" s="34">
        <v>100</v>
      </c>
      <c r="D271" s="35">
        <v>346085</v>
      </c>
    </row>
    <row r="272" spans="1:9" ht="106.5" customHeight="1" x14ac:dyDescent="0.3">
      <c r="A272" s="32" t="s">
        <v>231</v>
      </c>
      <c r="B272" s="33" t="s">
        <v>141</v>
      </c>
      <c r="C272" s="34">
        <v>200</v>
      </c>
      <c r="D272" s="35">
        <v>63607</v>
      </c>
    </row>
    <row r="273" spans="1:6" ht="150.75" customHeight="1" x14ac:dyDescent="0.3">
      <c r="A273" s="42" t="s">
        <v>376</v>
      </c>
      <c r="B273" s="24" t="s">
        <v>142</v>
      </c>
      <c r="C273" s="26"/>
      <c r="D273" s="27">
        <f>D274</f>
        <v>4527093.5299999993</v>
      </c>
    </row>
    <row r="274" spans="1:6" ht="109.5" customHeight="1" x14ac:dyDescent="0.3">
      <c r="A274" s="28" t="s">
        <v>295</v>
      </c>
      <c r="B274" s="29" t="s">
        <v>143</v>
      </c>
      <c r="C274" s="30"/>
      <c r="D274" s="31">
        <f>D275+D276</f>
        <v>4527093.5299999993</v>
      </c>
    </row>
    <row r="275" spans="1:6" s="4" customFormat="1" ht="122.25" customHeight="1" x14ac:dyDescent="0.3">
      <c r="A275" s="32" t="s">
        <v>540</v>
      </c>
      <c r="B275" s="33" t="s">
        <v>538</v>
      </c>
      <c r="C275" s="34">
        <v>600</v>
      </c>
      <c r="D275" s="35">
        <v>953581</v>
      </c>
      <c r="F275" s="12"/>
    </row>
    <row r="276" spans="1:6" s="4" customFormat="1" ht="111.75" customHeight="1" x14ac:dyDescent="0.3">
      <c r="A276" s="32" t="s">
        <v>541</v>
      </c>
      <c r="B276" s="33" t="s">
        <v>539</v>
      </c>
      <c r="C276" s="34">
        <v>600</v>
      </c>
      <c r="D276" s="35">
        <f>2310134.53+1063378+200000</f>
        <v>3573512.53</v>
      </c>
      <c r="F276" s="12"/>
    </row>
    <row r="277" spans="1:6" ht="66" customHeight="1" x14ac:dyDescent="0.3">
      <c r="A277" s="42" t="s">
        <v>377</v>
      </c>
      <c r="B277" s="24" t="s">
        <v>378</v>
      </c>
      <c r="C277" s="26"/>
      <c r="D277" s="27">
        <f>D278+D282</f>
        <v>1804502.53</v>
      </c>
    </row>
    <row r="278" spans="1:6" s="4" customFormat="1" ht="67.5" customHeight="1" x14ac:dyDescent="0.3">
      <c r="A278" s="40" t="s">
        <v>379</v>
      </c>
      <c r="B278" s="29" t="s">
        <v>380</v>
      </c>
      <c r="C278" s="30"/>
      <c r="D278" s="31">
        <f>SUM(D279:D281)</f>
        <v>83692.320000000007</v>
      </c>
      <c r="F278" s="12"/>
    </row>
    <row r="279" spans="1:6" ht="105" customHeight="1" x14ac:dyDescent="0.3">
      <c r="A279" s="36" t="s">
        <v>417</v>
      </c>
      <c r="B279" s="33" t="s">
        <v>381</v>
      </c>
      <c r="C279" s="34">
        <v>200</v>
      </c>
      <c r="D279" s="35">
        <f>40450-11711.68</f>
        <v>28738.32</v>
      </c>
    </row>
    <row r="280" spans="1:6" ht="122.25" customHeight="1" x14ac:dyDescent="0.3">
      <c r="A280" s="36" t="s">
        <v>419</v>
      </c>
      <c r="B280" s="33" t="s">
        <v>382</v>
      </c>
      <c r="C280" s="34">
        <v>200</v>
      </c>
      <c r="D280" s="35">
        <f>100000-60000</f>
        <v>40000</v>
      </c>
    </row>
    <row r="281" spans="1:6" ht="105" customHeight="1" x14ac:dyDescent="0.3">
      <c r="A281" s="36" t="s">
        <v>418</v>
      </c>
      <c r="B281" s="33" t="s">
        <v>383</v>
      </c>
      <c r="C281" s="34">
        <v>200</v>
      </c>
      <c r="D281" s="35">
        <v>14954</v>
      </c>
    </row>
    <row r="282" spans="1:6" ht="52.5" customHeight="1" x14ac:dyDescent="0.3">
      <c r="A282" s="40" t="s">
        <v>384</v>
      </c>
      <c r="B282" s="29" t="s">
        <v>385</v>
      </c>
      <c r="C282" s="34"/>
      <c r="D282" s="31">
        <f>SUM(D283:D284)</f>
        <v>1720810.21</v>
      </c>
    </row>
    <row r="283" spans="1:6" ht="84.75" customHeight="1" x14ac:dyDescent="0.3">
      <c r="A283" s="36" t="s">
        <v>420</v>
      </c>
      <c r="B283" s="33" t="s">
        <v>386</v>
      </c>
      <c r="C283" s="34">
        <v>200</v>
      </c>
      <c r="D283" s="35">
        <f>242732+20000+172500+11711.68+69000-6033.47</f>
        <v>509910.21</v>
      </c>
    </row>
    <row r="284" spans="1:6" ht="72" customHeight="1" x14ac:dyDescent="0.3">
      <c r="A284" s="36" t="s">
        <v>421</v>
      </c>
      <c r="B284" s="33" t="s">
        <v>387</v>
      </c>
      <c r="C284" s="34">
        <v>200</v>
      </c>
      <c r="D284" s="35">
        <f>100000+427500+139500+543900</f>
        <v>1210900</v>
      </c>
    </row>
    <row r="285" spans="1:6" ht="84.75" customHeight="1" x14ac:dyDescent="0.3">
      <c r="A285" s="25" t="s">
        <v>145</v>
      </c>
      <c r="B285" s="24" t="s">
        <v>144</v>
      </c>
      <c r="C285" s="26"/>
      <c r="D285" s="27">
        <f>D286+D290</f>
        <v>171400</v>
      </c>
    </row>
    <row r="286" spans="1:6" ht="68.25" customHeight="1" x14ac:dyDescent="0.3">
      <c r="A286" s="25" t="s">
        <v>147</v>
      </c>
      <c r="B286" s="24" t="s">
        <v>146</v>
      </c>
      <c r="C286" s="26"/>
      <c r="D286" s="27">
        <f>D287</f>
        <v>146400</v>
      </c>
    </row>
    <row r="287" spans="1:6" ht="46.5" customHeight="1" x14ac:dyDescent="0.3">
      <c r="A287" s="28" t="s">
        <v>149</v>
      </c>
      <c r="B287" s="29" t="s">
        <v>148</v>
      </c>
      <c r="C287" s="30"/>
      <c r="D287" s="31">
        <f>SUM(D288:D289)</f>
        <v>146400</v>
      </c>
    </row>
    <row r="288" spans="1:6" ht="127.5" customHeight="1" x14ac:dyDescent="0.3">
      <c r="A288" s="32" t="s">
        <v>296</v>
      </c>
      <c r="B288" s="33" t="s">
        <v>150</v>
      </c>
      <c r="C288" s="34">
        <v>200</v>
      </c>
      <c r="D288" s="35">
        <f>54400+57000</f>
        <v>111400</v>
      </c>
    </row>
    <row r="289" spans="1:6" ht="131.25" x14ac:dyDescent="0.3">
      <c r="A289" s="32" t="s">
        <v>297</v>
      </c>
      <c r="B289" s="33" t="s">
        <v>150</v>
      </c>
      <c r="C289" s="34">
        <v>600</v>
      </c>
      <c r="D289" s="35">
        <v>35000</v>
      </c>
    </row>
    <row r="290" spans="1:6" s="4" customFormat="1" ht="45.75" customHeight="1" x14ac:dyDescent="0.3">
      <c r="A290" s="25" t="s">
        <v>152</v>
      </c>
      <c r="B290" s="24" t="s">
        <v>151</v>
      </c>
      <c r="C290" s="26"/>
      <c r="D290" s="27">
        <f>D291</f>
        <v>25000</v>
      </c>
      <c r="F290" s="12"/>
    </row>
    <row r="291" spans="1:6" ht="50.25" customHeight="1" x14ac:dyDescent="0.3">
      <c r="A291" s="28" t="s">
        <v>154</v>
      </c>
      <c r="B291" s="29" t="s">
        <v>153</v>
      </c>
      <c r="C291" s="30"/>
      <c r="D291" s="31">
        <f>SUM(D292:D295)</f>
        <v>25000</v>
      </c>
    </row>
    <row r="292" spans="1:6" s="5" customFormat="1" ht="144.75" customHeight="1" x14ac:dyDescent="0.3">
      <c r="A292" s="32" t="s">
        <v>215</v>
      </c>
      <c r="B292" s="33" t="s">
        <v>155</v>
      </c>
      <c r="C292" s="34">
        <v>200</v>
      </c>
      <c r="D292" s="35">
        <v>10000</v>
      </c>
      <c r="F292" s="11"/>
    </row>
    <row r="293" spans="1:6" s="5" customFormat="1" ht="102.75" customHeight="1" x14ac:dyDescent="0.3">
      <c r="A293" s="32" t="s">
        <v>216</v>
      </c>
      <c r="B293" s="33" t="s">
        <v>156</v>
      </c>
      <c r="C293" s="34">
        <v>200</v>
      </c>
      <c r="D293" s="35">
        <v>4000</v>
      </c>
      <c r="F293" s="11"/>
    </row>
    <row r="294" spans="1:6" s="4" customFormat="1" ht="103.5" customHeight="1" x14ac:dyDescent="0.3">
      <c r="A294" s="32" t="s">
        <v>217</v>
      </c>
      <c r="B294" s="33" t="s">
        <v>157</v>
      </c>
      <c r="C294" s="34">
        <v>200</v>
      </c>
      <c r="D294" s="35">
        <v>5000</v>
      </c>
      <c r="F294" s="12"/>
    </row>
    <row r="295" spans="1:6" ht="122.25" customHeight="1" x14ac:dyDescent="0.3">
      <c r="A295" s="32" t="s">
        <v>218</v>
      </c>
      <c r="B295" s="33" t="s">
        <v>158</v>
      </c>
      <c r="C295" s="34">
        <v>200</v>
      </c>
      <c r="D295" s="35">
        <v>6000</v>
      </c>
    </row>
    <row r="296" spans="1:6" ht="123" customHeight="1" x14ac:dyDescent="0.3">
      <c r="A296" s="42" t="s">
        <v>450</v>
      </c>
      <c r="B296" s="24" t="s">
        <v>388</v>
      </c>
      <c r="C296" s="34"/>
      <c r="D296" s="27">
        <f>D297</f>
        <v>1500</v>
      </c>
    </row>
    <row r="297" spans="1:6" ht="50.25" customHeight="1" x14ac:dyDescent="0.3">
      <c r="A297" s="25" t="s">
        <v>444</v>
      </c>
      <c r="B297" s="24" t="s">
        <v>389</v>
      </c>
      <c r="C297" s="26"/>
      <c r="D297" s="27">
        <f>D298</f>
        <v>1500</v>
      </c>
    </row>
    <row r="298" spans="1:6" ht="183.75" customHeight="1" x14ac:dyDescent="0.3">
      <c r="A298" s="40" t="s">
        <v>390</v>
      </c>
      <c r="B298" s="29" t="s">
        <v>391</v>
      </c>
      <c r="C298" s="34"/>
      <c r="D298" s="31">
        <f>D299</f>
        <v>1500</v>
      </c>
    </row>
    <row r="299" spans="1:6" ht="126.75" customHeight="1" x14ac:dyDescent="0.3">
      <c r="A299" s="36" t="s">
        <v>445</v>
      </c>
      <c r="B299" s="33" t="s">
        <v>431</v>
      </c>
      <c r="C299" s="34">
        <v>200</v>
      </c>
      <c r="D299" s="35">
        <v>1500</v>
      </c>
    </row>
    <row r="300" spans="1:6" ht="84" customHeight="1" x14ac:dyDescent="0.3">
      <c r="A300" s="42" t="s">
        <v>459</v>
      </c>
      <c r="B300" s="24" t="s">
        <v>336</v>
      </c>
      <c r="C300" s="34"/>
      <c r="D300" s="27">
        <f>D301+D305</f>
        <v>3029441.58</v>
      </c>
    </row>
    <row r="301" spans="1:6" ht="52.5" customHeight="1" x14ac:dyDescent="0.3">
      <c r="A301" s="25" t="s">
        <v>263</v>
      </c>
      <c r="B301" s="24" t="s">
        <v>337</v>
      </c>
      <c r="C301" s="34"/>
      <c r="D301" s="27">
        <f>D302</f>
        <v>1787381.58</v>
      </c>
    </row>
    <row r="302" spans="1:6" ht="48" customHeight="1" x14ac:dyDescent="0.3">
      <c r="A302" s="28" t="s">
        <v>264</v>
      </c>
      <c r="B302" s="29" t="s">
        <v>338</v>
      </c>
      <c r="C302" s="34"/>
      <c r="D302" s="31">
        <f>SUM(D303:D304)</f>
        <v>1787381.58</v>
      </c>
    </row>
    <row r="303" spans="1:6" ht="64.5" customHeight="1" x14ac:dyDescent="0.3">
      <c r="A303" s="36" t="s">
        <v>265</v>
      </c>
      <c r="B303" s="33" t="s">
        <v>529</v>
      </c>
      <c r="C303" s="34">
        <v>300</v>
      </c>
      <c r="D303" s="35">
        <f>1060391.24-54379.05</f>
        <v>1006012.19</v>
      </c>
    </row>
    <row r="304" spans="1:6" ht="72" customHeight="1" x14ac:dyDescent="0.3">
      <c r="A304" s="32" t="s">
        <v>265</v>
      </c>
      <c r="B304" s="33" t="s">
        <v>339</v>
      </c>
      <c r="C304" s="34">
        <v>300</v>
      </c>
      <c r="D304" s="35">
        <f>254661.75+419707.64+107000</f>
        <v>781369.39</v>
      </c>
    </row>
    <row r="305" spans="1:6" ht="67.5" customHeight="1" x14ac:dyDescent="0.3">
      <c r="A305" s="25" t="s">
        <v>266</v>
      </c>
      <c r="B305" s="24" t="s">
        <v>340</v>
      </c>
      <c r="C305" s="34"/>
      <c r="D305" s="27">
        <f>D306</f>
        <v>1242060</v>
      </c>
    </row>
    <row r="306" spans="1:6" ht="66.75" customHeight="1" x14ac:dyDescent="0.3">
      <c r="A306" s="28" t="s">
        <v>267</v>
      </c>
      <c r="B306" s="29" t="s">
        <v>341</v>
      </c>
      <c r="C306" s="34"/>
      <c r="D306" s="31">
        <f>SUM(D307:D308)</f>
        <v>1242060</v>
      </c>
    </row>
    <row r="307" spans="1:6" ht="133.5" customHeight="1" x14ac:dyDescent="0.3">
      <c r="A307" s="36" t="s">
        <v>543</v>
      </c>
      <c r="B307" s="33" t="s">
        <v>542</v>
      </c>
      <c r="C307" s="34">
        <v>300</v>
      </c>
      <c r="D307" s="35">
        <f>1192320-74520</f>
        <v>1117800</v>
      </c>
    </row>
    <row r="308" spans="1:6" ht="145.5" customHeight="1" x14ac:dyDescent="0.3">
      <c r="A308" s="36" t="s">
        <v>422</v>
      </c>
      <c r="B308" s="33" t="s">
        <v>342</v>
      </c>
      <c r="C308" s="34">
        <v>300</v>
      </c>
      <c r="D308" s="35">
        <f>37260+87000</f>
        <v>124260</v>
      </c>
    </row>
    <row r="309" spans="1:6" ht="75.75" customHeight="1" x14ac:dyDescent="0.3">
      <c r="A309" s="42" t="s">
        <v>587</v>
      </c>
      <c r="B309" s="24" t="s">
        <v>588</v>
      </c>
      <c r="C309" s="26"/>
      <c r="D309" s="27">
        <f>D310</f>
        <v>71906</v>
      </c>
    </row>
    <row r="310" spans="1:6" ht="68.25" customHeight="1" x14ac:dyDescent="0.3">
      <c r="A310" s="57" t="s">
        <v>589</v>
      </c>
      <c r="B310" s="24" t="s">
        <v>590</v>
      </c>
      <c r="C310" s="26"/>
      <c r="D310" s="27">
        <f>D311</f>
        <v>71906</v>
      </c>
    </row>
    <row r="311" spans="1:6" ht="50.25" customHeight="1" x14ac:dyDescent="0.3">
      <c r="A311" s="40" t="s">
        <v>592</v>
      </c>
      <c r="B311" s="29" t="s">
        <v>591</v>
      </c>
      <c r="C311" s="30"/>
      <c r="D311" s="31">
        <f>SUM(D312:D314)</f>
        <v>71906</v>
      </c>
    </row>
    <row r="312" spans="1:6" ht="63.75" customHeight="1" x14ac:dyDescent="0.3">
      <c r="A312" s="36" t="s">
        <v>594</v>
      </c>
      <c r="B312" s="33" t="s">
        <v>593</v>
      </c>
      <c r="C312" s="34">
        <v>200</v>
      </c>
      <c r="D312" s="35">
        <v>10000</v>
      </c>
    </row>
    <row r="313" spans="1:6" ht="82.5" customHeight="1" x14ac:dyDescent="0.3">
      <c r="A313" s="36" t="s">
        <v>596</v>
      </c>
      <c r="B313" s="33" t="s">
        <v>597</v>
      </c>
      <c r="C313" s="34">
        <v>200</v>
      </c>
      <c r="D313" s="35">
        <v>3000</v>
      </c>
    </row>
    <row r="314" spans="1:6" ht="81.75" customHeight="1" x14ac:dyDescent="0.3">
      <c r="A314" s="36" t="s">
        <v>595</v>
      </c>
      <c r="B314" s="33" t="s">
        <v>598</v>
      </c>
      <c r="C314" s="34">
        <v>200</v>
      </c>
      <c r="D314" s="35">
        <f>53056+5850</f>
        <v>58906</v>
      </c>
    </row>
    <row r="315" spans="1:6" ht="90.75" customHeight="1" x14ac:dyDescent="0.3">
      <c r="A315" s="25" t="s">
        <v>298</v>
      </c>
      <c r="B315" s="24" t="s">
        <v>159</v>
      </c>
      <c r="C315" s="26"/>
      <c r="D315" s="27">
        <f>SUM(D316:D325)</f>
        <v>5420479.29</v>
      </c>
    </row>
    <row r="316" spans="1:6" s="5" customFormat="1" ht="130.5" customHeight="1" x14ac:dyDescent="0.3">
      <c r="A316" s="32" t="s">
        <v>299</v>
      </c>
      <c r="B316" s="33" t="s">
        <v>160</v>
      </c>
      <c r="C316" s="34">
        <v>100</v>
      </c>
      <c r="D316" s="35">
        <v>1415873</v>
      </c>
      <c r="E316" s="15"/>
      <c r="F316" s="11"/>
    </row>
    <row r="317" spans="1:6" s="4" customFormat="1" ht="90" customHeight="1" x14ac:dyDescent="0.3">
      <c r="A317" s="32" t="s">
        <v>300</v>
      </c>
      <c r="B317" s="33" t="s">
        <v>160</v>
      </c>
      <c r="C317" s="34">
        <v>200</v>
      </c>
      <c r="D317" s="35">
        <f>594800+8899+96600</f>
        <v>700299</v>
      </c>
      <c r="F317" s="12"/>
    </row>
    <row r="318" spans="1:6" ht="69.75" customHeight="1" x14ac:dyDescent="0.3">
      <c r="A318" s="32" t="s">
        <v>301</v>
      </c>
      <c r="B318" s="33" t="s">
        <v>160</v>
      </c>
      <c r="C318" s="34">
        <v>800</v>
      </c>
      <c r="D318" s="35">
        <f>17500+2000</f>
        <v>19500</v>
      </c>
    </row>
    <row r="319" spans="1:6" ht="144.75" customHeight="1" x14ac:dyDescent="0.3">
      <c r="A319" s="32" t="s">
        <v>302</v>
      </c>
      <c r="B319" s="33" t="s">
        <v>161</v>
      </c>
      <c r="C319" s="34">
        <v>100</v>
      </c>
      <c r="D319" s="35">
        <f>80899-8899</f>
        <v>72000</v>
      </c>
    </row>
    <row r="320" spans="1:6" ht="143.25" customHeight="1" x14ac:dyDescent="0.3">
      <c r="A320" s="32" t="s">
        <v>183</v>
      </c>
      <c r="B320" s="33" t="s">
        <v>162</v>
      </c>
      <c r="C320" s="34">
        <v>100</v>
      </c>
      <c r="D320" s="35">
        <v>1139457.74</v>
      </c>
      <c r="E320" s="16"/>
    </row>
    <row r="321" spans="1:6" ht="89.25" customHeight="1" x14ac:dyDescent="0.3">
      <c r="A321" s="32" t="s">
        <v>303</v>
      </c>
      <c r="B321" s="33" t="s">
        <v>162</v>
      </c>
      <c r="C321" s="34">
        <v>200</v>
      </c>
      <c r="D321" s="35">
        <f>222035+11000-2641+20435</f>
        <v>250829</v>
      </c>
    </row>
    <row r="322" spans="1:6" s="5" customFormat="1" ht="69.75" customHeight="1" x14ac:dyDescent="0.3">
      <c r="A322" s="32" t="s">
        <v>199</v>
      </c>
      <c r="B322" s="33" t="s">
        <v>162</v>
      </c>
      <c r="C322" s="34">
        <v>800</v>
      </c>
      <c r="D322" s="35">
        <v>500</v>
      </c>
      <c r="F322" s="11"/>
    </row>
    <row r="323" spans="1:6" ht="148.5" customHeight="1" x14ac:dyDescent="0.3">
      <c r="A323" s="32" t="s">
        <v>184</v>
      </c>
      <c r="B323" s="33" t="s">
        <v>163</v>
      </c>
      <c r="C323" s="34">
        <v>100</v>
      </c>
      <c r="D323" s="35">
        <f>682785+2641</f>
        <v>685426</v>
      </c>
    </row>
    <row r="324" spans="1:6" ht="127.5" customHeight="1" x14ac:dyDescent="0.3">
      <c r="A324" s="36" t="s">
        <v>185</v>
      </c>
      <c r="B324" s="33" t="s">
        <v>176</v>
      </c>
      <c r="C324" s="34">
        <v>100</v>
      </c>
      <c r="D324" s="35">
        <v>1001805</v>
      </c>
    </row>
    <row r="325" spans="1:6" ht="207" customHeight="1" x14ac:dyDescent="0.3">
      <c r="A325" s="47" t="s">
        <v>497</v>
      </c>
      <c r="B325" s="33" t="s">
        <v>496</v>
      </c>
      <c r="C325" s="34">
        <v>100</v>
      </c>
      <c r="D325" s="35">
        <f>134789+0.55</f>
        <v>134789.54999999999</v>
      </c>
    </row>
    <row r="326" spans="1:6" ht="93" customHeight="1" x14ac:dyDescent="0.3">
      <c r="A326" s="25" t="s">
        <v>304</v>
      </c>
      <c r="B326" s="24" t="s">
        <v>164</v>
      </c>
      <c r="C326" s="26"/>
      <c r="D326" s="27">
        <f>SUM(D327:D344)</f>
        <v>6874394.3500000006</v>
      </c>
    </row>
    <row r="327" spans="1:6" ht="68.25" customHeight="1" x14ac:dyDescent="0.3">
      <c r="A327" s="32" t="s">
        <v>305</v>
      </c>
      <c r="B327" s="33" t="s">
        <v>165</v>
      </c>
      <c r="C327" s="34">
        <v>200</v>
      </c>
      <c r="D327" s="35">
        <f>1823022.75-122521.39-34000-34698.75+170059.13-53729-10010.27-4800-110766.67+50000</f>
        <v>1672555.8000000003</v>
      </c>
    </row>
    <row r="328" spans="1:6" ht="51.75" customHeight="1" x14ac:dyDescent="0.3">
      <c r="A328" s="32" t="s">
        <v>306</v>
      </c>
      <c r="B328" s="33" t="s">
        <v>165</v>
      </c>
      <c r="C328" s="34">
        <v>800</v>
      </c>
      <c r="D328" s="35">
        <f>20000+34000+196491+10613+63702+4800+19623.05</f>
        <v>349229.05</v>
      </c>
    </row>
    <row r="329" spans="1:6" ht="183.75" customHeight="1" x14ac:dyDescent="0.3">
      <c r="A329" s="36" t="s">
        <v>500</v>
      </c>
      <c r="B329" s="41" t="s">
        <v>501</v>
      </c>
      <c r="C329" s="34">
        <v>500</v>
      </c>
      <c r="D329" s="35">
        <v>20000</v>
      </c>
    </row>
    <row r="330" spans="1:6" ht="72" customHeight="1" x14ac:dyDescent="0.3">
      <c r="A330" s="36" t="s">
        <v>551</v>
      </c>
      <c r="B330" s="41" t="s">
        <v>550</v>
      </c>
      <c r="C330" s="34">
        <v>500</v>
      </c>
      <c r="D330" s="35">
        <v>92921.17</v>
      </c>
    </row>
    <row r="331" spans="1:6" ht="102.75" customHeight="1" x14ac:dyDescent="0.3">
      <c r="A331" s="36" t="s">
        <v>603</v>
      </c>
      <c r="B331" s="41" t="s">
        <v>601</v>
      </c>
      <c r="C331" s="34">
        <v>200</v>
      </c>
      <c r="D331" s="35">
        <v>147000</v>
      </c>
    </row>
    <row r="332" spans="1:6" ht="96.75" customHeight="1" x14ac:dyDescent="0.3">
      <c r="A332" s="36" t="s">
        <v>604</v>
      </c>
      <c r="B332" s="41" t="s">
        <v>602</v>
      </c>
      <c r="C332" s="34">
        <v>200</v>
      </c>
      <c r="D332" s="35">
        <v>168000</v>
      </c>
    </row>
    <row r="333" spans="1:6" ht="139.5" customHeight="1" x14ac:dyDescent="0.3">
      <c r="A333" s="47" t="s">
        <v>564</v>
      </c>
      <c r="B333" s="41" t="s">
        <v>566</v>
      </c>
      <c r="C333" s="34">
        <v>200</v>
      </c>
      <c r="D333" s="35">
        <v>343000</v>
      </c>
    </row>
    <row r="334" spans="1:6" ht="148.5" customHeight="1" x14ac:dyDescent="0.3">
      <c r="A334" s="47" t="s">
        <v>565</v>
      </c>
      <c r="B334" s="41" t="s">
        <v>566</v>
      </c>
      <c r="C334" s="34">
        <v>600</v>
      </c>
      <c r="D334" s="35">
        <v>857000</v>
      </c>
    </row>
    <row r="335" spans="1:6" ht="135" customHeight="1" x14ac:dyDescent="0.3">
      <c r="A335" s="47" t="s">
        <v>499</v>
      </c>
      <c r="B335" s="33" t="s">
        <v>498</v>
      </c>
      <c r="C335" s="34">
        <v>800</v>
      </c>
      <c r="D335" s="35">
        <f>42365.49-21182.73</f>
        <v>21182.76</v>
      </c>
    </row>
    <row r="336" spans="1:6" ht="97.5" customHeight="1" x14ac:dyDescent="0.3">
      <c r="A336" s="36" t="s">
        <v>605</v>
      </c>
      <c r="B336" s="41" t="s">
        <v>608</v>
      </c>
      <c r="C336" s="34">
        <v>600</v>
      </c>
      <c r="D336" s="35">
        <v>99000</v>
      </c>
    </row>
    <row r="337" spans="1:6" ht="69" customHeight="1" x14ac:dyDescent="0.3">
      <c r="A337" s="32" t="s">
        <v>307</v>
      </c>
      <c r="B337" s="33" t="s">
        <v>392</v>
      </c>
      <c r="C337" s="34">
        <v>300</v>
      </c>
      <c r="D337" s="35">
        <f>1483498.25+28695</f>
        <v>1512193.25</v>
      </c>
    </row>
    <row r="338" spans="1:6" ht="201.75" customHeight="1" x14ac:dyDescent="0.3">
      <c r="A338" s="32" t="s">
        <v>448</v>
      </c>
      <c r="B338" s="33" t="s">
        <v>449</v>
      </c>
      <c r="C338" s="34">
        <v>200</v>
      </c>
      <c r="D338" s="35">
        <f>7500+7500</f>
        <v>15000</v>
      </c>
    </row>
    <row r="339" spans="1:6" ht="107.25" customHeight="1" x14ac:dyDescent="0.3">
      <c r="A339" s="32" t="s">
        <v>523</v>
      </c>
      <c r="B339" s="33" t="s">
        <v>521</v>
      </c>
      <c r="C339" s="34">
        <v>600</v>
      </c>
      <c r="D339" s="35">
        <v>150000</v>
      </c>
    </row>
    <row r="340" spans="1:6" ht="114" customHeight="1" x14ac:dyDescent="0.3">
      <c r="A340" s="32" t="s">
        <v>524</v>
      </c>
      <c r="B340" s="33" t="s">
        <v>522</v>
      </c>
      <c r="C340" s="34">
        <v>600</v>
      </c>
      <c r="D340" s="35">
        <v>1520</v>
      </c>
    </row>
    <row r="341" spans="1:6" ht="114" customHeight="1" x14ac:dyDescent="0.3">
      <c r="A341" s="32" t="s">
        <v>527</v>
      </c>
      <c r="B341" s="33" t="s">
        <v>525</v>
      </c>
      <c r="C341" s="34">
        <v>200</v>
      </c>
      <c r="D341" s="35">
        <v>150000</v>
      </c>
    </row>
    <row r="342" spans="1:6" ht="114" customHeight="1" x14ac:dyDescent="0.3">
      <c r="A342" s="32" t="s">
        <v>528</v>
      </c>
      <c r="B342" s="33" t="s">
        <v>526</v>
      </c>
      <c r="C342" s="34">
        <v>200</v>
      </c>
      <c r="D342" s="35">
        <v>1520</v>
      </c>
    </row>
    <row r="343" spans="1:6" ht="201.75" customHeight="1" x14ac:dyDescent="0.3">
      <c r="A343" s="32" t="s">
        <v>520</v>
      </c>
      <c r="B343" s="33" t="s">
        <v>519</v>
      </c>
      <c r="C343" s="34">
        <v>200</v>
      </c>
      <c r="D343" s="35">
        <v>169874.32</v>
      </c>
    </row>
    <row r="344" spans="1:6" ht="47.25" customHeight="1" x14ac:dyDescent="0.3">
      <c r="A344" s="36" t="s">
        <v>427</v>
      </c>
      <c r="B344" s="33" t="s">
        <v>428</v>
      </c>
      <c r="C344" s="34">
        <v>800</v>
      </c>
      <c r="D344" s="35">
        <f>624984.86+1104398-624984.86</f>
        <v>1104398</v>
      </c>
    </row>
    <row r="345" spans="1:6" ht="32.25" customHeight="1" x14ac:dyDescent="0.3">
      <c r="A345" s="61" t="s">
        <v>308</v>
      </c>
      <c r="B345" s="61"/>
      <c r="C345" s="61"/>
      <c r="D345" s="27">
        <f>D26+D98+D150+D192+D216+D236+D240+D258+D285+D296+D300+D315+D326+D309</f>
        <v>289820750.71000004</v>
      </c>
    </row>
    <row r="346" spans="1:6" ht="27.75" customHeight="1" x14ac:dyDescent="0.3">
      <c r="D346" s="23" t="s">
        <v>508</v>
      </c>
    </row>
    <row r="347" spans="1:6" ht="28.5" customHeight="1" x14ac:dyDescent="0.3">
      <c r="B347" s="6"/>
      <c r="C347" s="7"/>
      <c r="D347" s="13"/>
    </row>
    <row r="348" spans="1:6" ht="26.25" customHeight="1" x14ac:dyDescent="0.3">
      <c r="B348" s="6"/>
      <c r="C348" s="7"/>
      <c r="D348" s="8"/>
    </row>
    <row r="349" spans="1:6" ht="24.75" customHeight="1" x14ac:dyDescent="0.3">
      <c r="B349" s="6"/>
      <c r="C349" s="7"/>
      <c r="D349" s="9"/>
    </row>
    <row r="350" spans="1:6" ht="24.75" customHeight="1" x14ac:dyDescent="0.3">
      <c r="B350" s="6"/>
      <c r="C350" s="7"/>
      <c r="D350" s="8"/>
    </row>
    <row r="352" spans="1:6" s="5" customFormat="1" ht="24.75" customHeight="1" x14ac:dyDescent="0.3">
      <c r="A352" s="1"/>
      <c r="B352" s="1"/>
      <c r="C352" s="2"/>
      <c r="D352" s="3"/>
      <c r="F352" s="11"/>
    </row>
    <row r="357" spans="5:5" x14ac:dyDescent="0.3">
      <c r="E357" s="14"/>
    </row>
  </sheetData>
  <mergeCells count="22">
    <mergeCell ref="B19:D19"/>
    <mergeCell ref="A345:C345"/>
    <mergeCell ref="A23:D23"/>
    <mergeCell ref="C21:D21"/>
    <mergeCell ref="A22:D22"/>
    <mergeCell ref="B20:D20"/>
    <mergeCell ref="B13:D13"/>
    <mergeCell ref="B14:D14"/>
    <mergeCell ref="B15:D15"/>
    <mergeCell ref="B16:D16"/>
    <mergeCell ref="B17:D17"/>
    <mergeCell ref="B1:D1"/>
    <mergeCell ref="B2:D2"/>
    <mergeCell ref="B3:D3"/>
    <mergeCell ref="B4:D4"/>
    <mergeCell ref="B5:D5"/>
    <mergeCell ref="B6:D6"/>
    <mergeCell ref="B7:D7"/>
    <mergeCell ref="B8:D8"/>
    <mergeCell ref="B11:D11"/>
    <mergeCell ref="B9:D9"/>
    <mergeCell ref="B10:D10"/>
  </mergeCells>
  <pageMargins left="1.0629921259842521" right="0.86614173228346458" top="0.78740157480314965" bottom="0.78740157480314965" header="0" footer="0"/>
  <pageSetup paperSize="9" scale="72" fitToHeight="0"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Прил.№6 Распределен на 2017 год</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2017-12-19T08:10:50Z</dcterms:modified>
</cp:coreProperties>
</file>