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<sst xmlns="http://schemas.openxmlformats.org/spreadsheetml/2006/main" count="551" uniqueCount="449">
  <si>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</si>
  <si>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</si>
  <si>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</si>
  <si>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</si>
  <si>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</si>
  <si>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</si>
  <si>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</si>
  <si>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</si>
  <si>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</si>
  <si>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</si>
  <si>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</si>
  <si>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</si>
  <si>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</si>
  <si>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</si>
  <si>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</si>
  <si>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</si>
  <si>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</si>
  <si>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</si>
  <si>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</si>
  <si>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</si>
  <si>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</si>
  <si>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</si>
  <si>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</si>
  <si>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</si>
  <si>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</si>
  <si>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</si>
  <si>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</si>
  <si>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</si>
  <si>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</si>
  <si>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</si>
  <si>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</si>
  <si>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</si>
  <si>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</si>
  <si>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</si>
  <si>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</si>
  <si>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</si>
  <si>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</si>
  <si>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</si>
  <si>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</si>
  <si>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</si>
  <si>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</si>
  <si>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</si>
  <si>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</si>
  <si>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</si>
  <si>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</si>
  <si>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</si>
  <si>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</si>
  <si>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</si>
  <si>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</si>
  <si>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</si>
  <si>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</si>
  <si>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</si>
  <si>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</si>
  <si>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</si>
  <si>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</si>
  <si>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</si>
  <si>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</si>
  <si>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</si>
  <si>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</si>
  <si>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</si>
  <si>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</si>
  <si>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</si>
  <si>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</si>
  <si>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</si>
  <si>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</si>
  <si>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</si>
  <si>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</si>
  <si>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</si>
  <si>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</si>
  <si>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</si>
  <si>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</si>
  <si>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</si>
  <si>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</si>
  <si>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</si>
  <si>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</si>
  <si>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</si>
  <si>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</si>
  <si>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</si>
  <si>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</si>
  <si>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</si>
  <si>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</si>
  <si>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</si>
  <si>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</si>
  <si>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</si>
  <si>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</si>
  <si>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</si>
  <si>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</si>
  <si>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</si>
  <si>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</si>
  <si>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</si>
  <si>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</si>
  <si>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</si>
  <si>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</si>
  <si>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</si>
  <si>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</si>
  <si>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</si>
  <si>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</si>
  <si>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</si>
  <si>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</si>
  <si>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</si>
  <si>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</si>
  <si>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</si>
  <si>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</si>
  <si>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</si>
  <si>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</si>
  <si>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</si>
  <si>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</si>
  <si>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</si>
  <si>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</si>
  <si>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</si>
  <si>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</si>
  <si>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</si>
  <si>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</si>
  <si>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</si>
  <si>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</si>
  <si>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</si>
  <si>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</si>
  <si>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</si>
  <si>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</si>
  <si>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</si>
  <si>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</si>
  <si>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</si>
  <si>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</si>
  <si>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</si>
  <si>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</si>
  <si>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</si>
  <si>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</si>
  <si>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</si>
  <si>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</si>
  <si>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</si>
  <si>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</si>
  <si>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</si>
  <si>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</si>
  <si>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</si>
  <si>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</si>
  <si>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</si>
  <si>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</si>
  <si>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</si>
  <si>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</si>
  <si>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</si>
  <si>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</si>
  <si>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</si>
  <si>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</si>
  <si>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</si>
  <si>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</si>
  <si>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</si>
  <si>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</si>
  <si>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</si>
  <si>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</si>
  <si>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</si>
  <si>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</si>
  <si>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</si>
  <si>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</si>
  <si>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</si>
  <si>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</si>
  <si>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</si>
  <si>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</si>
  <si>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</si>
  <si>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</si>
  <si>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</si>
  <si>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</si>
  <si>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</si>
  <si>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</si>
  <si>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</si>
  <si>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</si>
  <si>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</si>
  <si>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</si>
  <si>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</si>
  <si>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</si>
  <si>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</si>
  <si>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</si>
  <si>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</si>
  <si>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</si>
  <si>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</si>
  <si>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</si>
  <si>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</si>
  <si>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</si>
  <si>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</si>
  <si>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</si>
  <si>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</si>
  <si>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</si>
  <si>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</si>
  <si>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</si>
  <si>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</si>
  <si>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</si>
  <si>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</si>
  <si>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</si>
  <si>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</si>
  <si>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</si>
  <si>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</si>
  <si>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</si>
  <si>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</si>
  <si>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</si>
  <si>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</si>
  <si>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</si>
  <si>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</si>
  <si>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</si>
  <si>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</si>
  <si>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</si>
  <si>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</si>
  <si>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</si>
  <si>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</si>
  <si>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</si>
  <si>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</si>
  <si>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</si>
  <si>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</si>
  <si>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</si>
  <si>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</si>
  <si>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</si>
  <si>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</si>
  <si>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</si>
  <si>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</si>
  <si>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</si>
  <si>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</si>
  <si>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</si>
  <si>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</si>
  <si>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</si>
  <si>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</si>
  <si>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</si>
  <si>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</si>
  <si>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</si>
  <si>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</si>
  <si>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</si>
  <si>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</si>
  <si>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</si>
  <si>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</si>
  <si>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</si>
  <si>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</si>
  <si>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</si>
  <si>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</si>
  <si>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</si>
  <si>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</si>
  <si>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</si>
  <si>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</si>
  <si>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</si>
  <si>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</si>
  <si>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</si>
  <si>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</si>
  <si>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</si>
  <si>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</si>
  <si>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</si>
  <si>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</si>
  <si>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</si>
  <si>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</si>
  <si>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</si>
  <si>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</si>
  <si>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</si>
  <si>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</si>
  <si>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</si>
  <si>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</si>
  <si>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</si>
  <si>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</si>
  <si>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</si>
  <si>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</si>
  <si>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</si>
  <si>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</si>
  <si>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</si>
  <si>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</si>
  <si>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</si>
  <si>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</si>
  <si>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</si>
  <si>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</si>
  <si>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</si>
  <si>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</si>
  <si>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</si>
  <si>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</si>
  <si>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</si>
  <si>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</si>
  <si>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</si>
  <si>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</si>
  <si>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</si>
  <si>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</si>
  <si>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</si>
  <si>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</si>
  <si>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</si>
  <si>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</si>
  <si>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</si>
  <si>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</si>
  <si>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</si>
  <si>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</si>
  <si>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</si>
  <si>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</si>
  <si>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</si>
  <si>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</si>
  <si>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</si>
  <si>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</si>
  <si>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</si>
  <si>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</si>
  <si>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</si>
  <si>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</si>
  <si>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</si>
  <si>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</si>
  <si>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</si>
  <si>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</si>
  <si>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</si>
  <si>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</si>
  <si>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</si>
  <si>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</si>
  <si>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</si>
  <si>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</si>
  <si>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</si>
  <si>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</si>
  <si>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</si>
  <si>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</si>
  <si>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</si>
  <si>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</si>
  <si>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</si>
  <si>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</si>
  <si>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</si>
  <si>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</si>
  <si>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</si>
  <si>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</si>
  <si>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</si>
  <si>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</si>
  <si>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</si>
  <si>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</si>
  <si>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</si>
  <si>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</si>
  <si>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</si>
  <si>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</si>
  <si>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</si>
  <si>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</si>
  <si>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</si>
  <si>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</si>
  <si>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</si>
  <si>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</si>
  <si>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</si>
  <si>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</si>
  <si>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</si>
  <si>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</si>
  <si>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</si>
  <si>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</si>
  <si>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</si>
  <si>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</si>
  <si>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</si>
  <si>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</si>
  <si>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</si>
  <si>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</si>
  <si>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</si>
  <si>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</si>
  <si>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</si>
  <si>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</si>
  <si>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</si>
  <si>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</si>
  <si>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</si>
  <si>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</si>
  <si>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</si>
  <si>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</si>
  <si>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</si>
  <si>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</si>
  <si>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</si>
  <si>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</si>
  <si>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</si>
  <si>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</si>
  <si>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</si>
  <si>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</si>
  <si>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</si>
  <si>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</si>
  <si>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</si>
  <si>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</si>
  <si>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</si>
  <si>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</si>
  <si>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</si>
  <si>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</si>
  <si>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</si>
  <si>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</si>
  <si>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</si>
  <si>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</si>
  <si>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</si>
  <si>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</si>
  <si>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</si>
  <si>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</si>
  <si>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</si>
  <si>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</si>
  <si>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</si>
  <si>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</si>
  <si>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</si>
  <si>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</si>
  <si>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</si>
  <si>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</si>
  <si>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</si>
  <si>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</si>
  <si>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</si>
  <si>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</si>
  <si>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</si>
  <si>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</si>
  <si>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</si>
  <si>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</si>
  <si>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</si>
  <si>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</si>
  <si>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</si>
  <si>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</si>
  <si>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</si>
  <si>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</si>
  <si>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</si>
  <si>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</si>
  <si>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</si>
  <si>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</si>
  <si>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</si>
  <si>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</si>
  <si>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</si>
  <si>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</si>
  <si>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</si>
  <si>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</si>
  <si>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</si>
  <si>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</si>
  <si>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</si>
  <si>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</si>
  <si>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</si>
  <si>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</si>
  <si>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</si>
  <si>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</si>
  <si>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</si>
  <si>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</si>
  <si>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</si>
  <si>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</si>
  <si>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</si>
  <si>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</si>
  <si>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</si>
  <si>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</si>
  <si>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</si>
  <si>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</si>
  <si>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</si>
  <si>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</si>
  <si>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</si>
  <si>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</si>
  <si>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</si>
  <si>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</si>
  <si>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</si>
  <si>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</si>
  <si>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</si>
  <si>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</si>
  <si>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</si>
  <si>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</si>
  <si>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</si>
  <si>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</si>
  <si>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</si>
  <si>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</si>
  <si>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</si>
  <si>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</si>
  <si>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</si>
  <si>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</si>
  <si>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</si>
  <si>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</si>
  <si>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</si>
  <si>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</si>
  <si>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</si>
  <si>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</si>
  <si>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от 20.08.2021 № 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</si>
</sst>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0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1" t="s">
        <v>327</v>
      </c>
      <c r="D1" s="41"/>
      <c r="E1" s="41"/>
    </row>
    <row r="2" spans="3:5" ht="18.75">
      <c r="C2" s="41" t="s">
        <v>245</v>
      </c>
      <c r="D2" s="41"/>
      <c r="E2" s="41"/>
    </row>
    <row r="3" spans="3:5" ht="18.75">
      <c r="C3" s="41" t="s">
        <v>246</v>
      </c>
      <c r="D3" s="41"/>
      <c r="E3" s="41"/>
    </row>
    <row r="4" spans="3:5" ht="18.75">
      <c r="C4" s="41" t="s">
        <v>324</v>
      </c>
      <c r="D4" s="41"/>
      <c r="E4" s="41"/>
    </row>
    <row r="5" spans="3:5" ht="18.75">
      <c r="C5" s="41" t="s">
        <v>325</v>
      </c>
      <c r="D5" s="41"/>
      <c r="E5" s="41"/>
    </row>
    <row r="6" spans="3:5" ht="18.75">
      <c r="C6" s="41" t="s">
        <v>246</v>
      </c>
      <c r="D6" s="41"/>
      <c r="E6" s="41"/>
    </row>
    <row r="7" spans="3:5" ht="18.75">
      <c r="C7" s="41" t="s">
        <v>328</v>
      </c>
      <c r="D7" s="41"/>
      <c r="E7" s="41"/>
    </row>
    <row r="8" spans="3:5" ht="18.75">
      <c r="C8" s="41" t="s">
        <v>326</v>
      </c>
      <c r="D8" s="41"/>
      <c r="E8" s="41"/>
    </row>
    <row r="9" spans="3:5" ht="18.75">
      <c r="C9" s="41" t="s">
        <v>248</v>
      </c>
      <c r="D9" s="41"/>
      <c r="E9" s="41"/>
    </row>
    <row r="10" spans="3:5" ht="18.75">
      <c r="C10" s="41" t="s">
        <v>329</v>
      </c>
      <c r="D10" s="41"/>
      <c r="E10" s="41"/>
    </row>
    <row r="11" spans="3:5" ht="18.75">
      <c r="C11" s="42" t="s">
        <v>448</v>
      </c>
      <c r="D11" s="42"/>
      <c r="E11" s="42"/>
    </row>
    <row r="13" spans="3:5" ht="18.75">
      <c r="C13" s="41" t="s">
        <v>330</v>
      </c>
      <c r="D13" s="41"/>
      <c r="E13" s="41"/>
    </row>
    <row r="14" spans="3:5" ht="18.75">
      <c r="C14" s="41" t="s">
        <v>245</v>
      </c>
      <c r="D14" s="41"/>
      <c r="E14" s="41"/>
    </row>
    <row r="15" spans="3:5" ht="18.75">
      <c r="C15" s="41" t="s">
        <v>246</v>
      </c>
      <c r="D15" s="41"/>
      <c r="E15" s="41"/>
    </row>
    <row r="16" spans="3:5" ht="18.75">
      <c r="C16" s="41" t="s">
        <v>247</v>
      </c>
      <c r="D16" s="41"/>
      <c r="E16" s="41"/>
    </row>
    <row r="17" spans="3:5" ht="18.75">
      <c r="C17" s="41" t="s">
        <v>246</v>
      </c>
      <c r="D17" s="41"/>
      <c r="E17" s="41"/>
    </row>
    <row r="18" spans="3:5" ht="18.75">
      <c r="C18" s="41" t="s">
        <v>248</v>
      </c>
      <c r="D18" s="41"/>
      <c r="E18" s="41"/>
    </row>
    <row r="19" spans="3:5" ht="18.75">
      <c r="C19" s="41" t="s">
        <v>266</v>
      </c>
      <c r="D19" s="41"/>
      <c r="E19" s="41"/>
    </row>
    <row r="20" spans="3:5" ht="18.75">
      <c r="C20" s="42" t="s">
        <v>323</v>
      </c>
      <c r="D20" s="41"/>
      <c r="E20" s="41"/>
    </row>
    <row r="22" ht="18.75">
      <c r="E22" s="4" t="s">
        <v>249</v>
      </c>
    </row>
    <row r="24" spans="1:5" ht="47.25" customHeight="1">
      <c r="A24" s="48" t="s">
        <v>244</v>
      </c>
      <c r="B24" s="48"/>
      <c r="C24" s="48"/>
      <c r="D24" s="48"/>
      <c r="E24" s="48"/>
    </row>
    <row r="25" spans="1:5" ht="42.75" customHeight="1">
      <c r="A25" s="46" t="s">
        <v>41</v>
      </c>
      <c r="B25" s="43" t="s">
        <v>42</v>
      </c>
      <c r="C25" s="43" t="s">
        <v>53</v>
      </c>
      <c r="D25" s="43"/>
      <c r="E25" s="43"/>
    </row>
    <row r="26" spans="1:5" ht="18.75">
      <c r="A26" s="47"/>
      <c r="B26" s="43"/>
      <c r="C26" s="29" t="s">
        <v>94</v>
      </c>
      <c r="D26" s="30" t="s">
        <v>133</v>
      </c>
      <c r="E26" s="30" t="s">
        <v>240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C29+C39+C53+C80++C92+C108+C118+C132+C143+C76+C87</f>
        <v>68381060.39</v>
      </c>
      <c r="D28" s="23">
        <f>D29+D39+D53+D80++D92+D108+D118+D132+D143+D76+D87</f>
        <v>65550351.53</v>
      </c>
      <c r="E28" s="23">
        <f>E29+E39+E53+E80++E92+E108+E118+E132+E143+E76+E87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54562182.6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</f>
        <v>54562182.6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145000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f>160000-15000</f>
        <v>145000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303000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v>303000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115000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150000-50000+15000</f>
        <v>115000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4477000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4477000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1925000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1925000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f>1812000+113000</f>
        <v>1925000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2784000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-250000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C70+C73+C54+C67</f>
        <v>3569846.9099999997</v>
      </c>
      <c r="D53" s="23">
        <f>D70+D73+D54+D67</f>
        <v>2431157.6399999997</v>
      </c>
      <c r="E53" s="23">
        <f>E70+E73+E54+E67</f>
        <v>2492000</v>
      </c>
    </row>
    <row r="54" spans="1:5" ht="75">
      <c r="A54" s="38" t="s">
        <v>250</v>
      </c>
      <c r="B54" s="12" t="s">
        <v>251</v>
      </c>
      <c r="C54" s="10">
        <f>C55+C60+C65</f>
        <v>1495051.79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252</v>
      </c>
      <c r="B55" s="12" t="s">
        <v>253</v>
      </c>
      <c r="C55" s="10">
        <f>C56+C58</f>
        <v>774842.66</v>
      </c>
      <c r="D55" s="10">
        <f>D56+D58</f>
        <v>735640</v>
      </c>
      <c r="E55" s="10">
        <f>E56+E58</f>
        <v>735640</v>
      </c>
    </row>
    <row r="56" spans="1:5" ht="93.75">
      <c r="A56" s="38" t="s">
        <v>254</v>
      </c>
      <c r="B56" s="12" t="s">
        <v>253</v>
      </c>
      <c r="C56" s="10">
        <f>C57</f>
        <v>774737.39</v>
      </c>
      <c r="D56" s="10">
        <f>D57</f>
        <v>735640</v>
      </c>
      <c r="E56" s="10">
        <f>E57</f>
        <v>735640</v>
      </c>
    </row>
    <row r="57" spans="1:5" ht="93.75">
      <c r="A57" s="38" t="s">
        <v>255</v>
      </c>
      <c r="B57" s="12" t="s">
        <v>253</v>
      </c>
      <c r="C57" s="10">
        <f>735640+39097.39</f>
        <v>774737.39</v>
      </c>
      <c r="D57" s="10">
        <v>735640</v>
      </c>
      <c r="E57" s="10">
        <v>735640</v>
      </c>
    </row>
    <row r="58" spans="1:5" ht="112.5">
      <c r="A58" s="38" t="s">
        <v>341</v>
      </c>
      <c r="B58" s="12" t="s">
        <v>342</v>
      </c>
      <c r="C58" s="10">
        <f>C59</f>
        <v>105.27000000000001</v>
      </c>
      <c r="D58" s="10">
        <f>D59</f>
        <v>0</v>
      </c>
      <c r="E58" s="10">
        <f>E59</f>
        <v>0</v>
      </c>
    </row>
    <row r="59" spans="1:5" ht="112.5">
      <c r="A59" s="38" t="s">
        <v>343</v>
      </c>
      <c r="B59" s="12" t="s">
        <v>342</v>
      </c>
      <c r="C59" s="10">
        <f>60-16.25+61.52</f>
        <v>105.27000000000001</v>
      </c>
      <c r="D59" s="10">
        <v>0</v>
      </c>
      <c r="E59" s="10">
        <v>0</v>
      </c>
    </row>
    <row r="60" spans="1:5" ht="112.5">
      <c r="A60" s="38" t="s">
        <v>256</v>
      </c>
      <c r="B60" s="12" t="s">
        <v>257</v>
      </c>
      <c r="C60" s="10">
        <f>C61+C63</f>
        <v>720220.91</v>
      </c>
      <c r="D60" s="10">
        <f>D61+D63</f>
        <v>652360</v>
      </c>
      <c r="E60" s="10">
        <f>E61+E63</f>
        <v>652360</v>
      </c>
    </row>
    <row r="61" spans="1:5" ht="150">
      <c r="A61" s="38" t="s">
        <v>258</v>
      </c>
      <c r="B61" s="12" t="s">
        <v>259</v>
      </c>
      <c r="C61" s="10">
        <f>C62</f>
        <v>720187.39</v>
      </c>
      <c r="D61" s="10">
        <f>D62</f>
        <v>652360</v>
      </c>
      <c r="E61" s="10">
        <f>E62</f>
        <v>652360</v>
      </c>
    </row>
    <row r="62" spans="1:5" ht="150">
      <c r="A62" s="38" t="s">
        <v>260</v>
      </c>
      <c r="B62" s="12" t="s">
        <v>259</v>
      </c>
      <c r="C62" s="10">
        <f>652360+11.78+67815.61</f>
        <v>720187.39</v>
      </c>
      <c r="D62" s="10">
        <v>652360</v>
      </c>
      <c r="E62" s="10">
        <v>652360</v>
      </c>
    </row>
    <row r="63" spans="1:5" ht="131.25">
      <c r="A63" s="38" t="s">
        <v>344</v>
      </c>
      <c r="B63" s="12" t="s">
        <v>345</v>
      </c>
      <c r="C63" s="10">
        <f>C64</f>
        <v>33.52</v>
      </c>
      <c r="D63" s="10">
        <f>D64</f>
        <v>0</v>
      </c>
      <c r="E63" s="10">
        <f>E64</f>
        <v>0</v>
      </c>
    </row>
    <row r="64" spans="1:5" ht="131.25">
      <c r="A64" s="38" t="s">
        <v>346</v>
      </c>
      <c r="B64" s="12" t="s">
        <v>345</v>
      </c>
      <c r="C64" s="10">
        <f>34-0.48</f>
        <v>33.52</v>
      </c>
      <c r="D64" s="10">
        <v>0</v>
      </c>
      <c r="E64" s="10">
        <v>0</v>
      </c>
    </row>
    <row r="65" spans="1:5" ht="93.75">
      <c r="A65" s="38" t="s">
        <v>347</v>
      </c>
      <c r="B65" s="12" t="s">
        <v>348</v>
      </c>
      <c r="C65" s="10">
        <f>C66</f>
        <v>-11.78</v>
      </c>
      <c r="D65" s="10">
        <f>D66</f>
        <v>0</v>
      </c>
      <c r="E65" s="10">
        <f>E66</f>
        <v>0</v>
      </c>
    </row>
    <row r="66" spans="1:5" ht="93.75">
      <c r="A66" s="38" t="s">
        <v>349</v>
      </c>
      <c r="B66" s="12" t="s">
        <v>348</v>
      </c>
      <c r="C66" s="10">
        <f>2.54+1.19-15.51</f>
        <v>-11.78</v>
      </c>
      <c r="D66" s="10">
        <v>0</v>
      </c>
      <c r="E66" s="10">
        <v>0</v>
      </c>
    </row>
    <row r="67" spans="1:5" ht="56.25">
      <c r="A67" s="38" t="s">
        <v>350</v>
      </c>
      <c r="B67" s="12" t="s">
        <v>351</v>
      </c>
      <c r="C67" s="10">
        <f aca="true" t="shared" si="4" ref="C67:E68">C68</f>
        <v>1002370.63</v>
      </c>
      <c r="D67" s="10">
        <f t="shared" si="4"/>
        <v>0</v>
      </c>
      <c r="E67" s="10">
        <f t="shared" si="4"/>
        <v>0</v>
      </c>
    </row>
    <row r="68" spans="1:5" ht="56.25">
      <c r="A68" s="38" t="s">
        <v>352</v>
      </c>
      <c r="B68" s="12" t="s">
        <v>351</v>
      </c>
      <c r="C68" s="10">
        <f t="shared" si="4"/>
        <v>1002370.63</v>
      </c>
      <c r="D68" s="10">
        <f t="shared" si="4"/>
        <v>0</v>
      </c>
      <c r="E68" s="10">
        <f t="shared" si="4"/>
        <v>0</v>
      </c>
    </row>
    <row r="69" spans="1:5" ht="56.25">
      <c r="A69" s="38" t="s">
        <v>353</v>
      </c>
      <c r="B69" s="12" t="s">
        <v>351</v>
      </c>
      <c r="C69" s="10">
        <f>910000+45000+29100+18270.63</f>
        <v>1002370.63</v>
      </c>
      <c r="D69" s="10">
        <v>0</v>
      </c>
      <c r="E69" s="10">
        <v>0</v>
      </c>
    </row>
    <row r="70" spans="1:5" ht="18.75">
      <c r="A70" s="38" t="s">
        <v>45</v>
      </c>
      <c r="B70" s="12" t="s">
        <v>153</v>
      </c>
      <c r="C70" s="10">
        <f aca="true" t="shared" si="5" ref="C70:E71">C71</f>
        <v>28266.85</v>
      </c>
      <c r="D70" s="10">
        <f t="shared" si="5"/>
        <v>7000</v>
      </c>
      <c r="E70" s="10">
        <f t="shared" si="5"/>
        <v>7000</v>
      </c>
    </row>
    <row r="71" spans="1:5" ht="18.75">
      <c r="A71" s="38" t="s">
        <v>69</v>
      </c>
      <c r="B71" s="12" t="s">
        <v>153</v>
      </c>
      <c r="C71" s="10">
        <f t="shared" si="5"/>
        <v>28266.85</v>
      </c>
      <c r="D71" s="10">
        <f t="shared" si="5"/>
        <v>7000</v>
      </c>
      <c r="E71" s="10">
        <f t="shared" si="5"/>
        <v>7000</v>
      </c>
    </row>
    <row r="72" spans="1:5" ht="18.75">
      <c r="A72" s="38" t="s">
        <v>18</v>
      </c>
      <c r="B72" s="12" t="s">
        <v>153</v>
      </c>
      <c r="C72" s="10">
        <f>7000+19738.6+1528.25</f>
        <v>28266.85</v>
      </c>
      <c r="D72" s="10">
        <v>7000</v>
      </c>
      <c r="E72" s="10">
        <v>7000</v>
      </c>
    </row>
    <row r="73" spans="1:5" ht="56.25">
      <c r="A73" s="38" t="s">
        <v>79</v>
      </c>
      <c r="B73" s="25" t="s">
        <v>80</v>
      </c>
      <c r="C73" s="10">
        <f aca="true" t="shared" si="6" ref="C73:E74">C74</f>
        <v>1044157.6399999997</v>
      </c>
      <c r="D73" s="10">
        <f t="shared" si="6"/>
        <v>1036157.6399999997</v>
      </c>
      <c r="E73" s="10">
        <f t="shared" si="6"/>
        <v>1097000</v>
      </c>
    </row>
    <row r="74" spans="1:5" ht="75">
      <c r="A74" s="38" t="s">
        <v>82</v>
      </c>
      <c r="B74" s="25" t="s">
        <v>154</v>
      </c>
      <c r="C74" s="10">
        <f t="shared" si="6"/>
        <v>1044157.6399999997</v>
      </c>
      <c r="D74" s="10">
        <f t="shared" si="6"/>
        <v>1036157.6399999997</v>
      </c>
      <c r="E74" s="10">
        <f t="shared" si="6"/>
        <v>1097000</v>
      </c>
    </row>
    <row r="75" spans="1:5" ht="75">
      <c r="A75" s="38" t="s">
        <v>83</v>
      </c>
      <c r="B75" s="25" t="s">
        <v>154</v>
      </c>
      <c r="C75" s="10">
        <f>95000+3990000-1660842.36-1388000+8000</f>
        <v>1044157.6399999997</v>
      </c>
      <c r="D75" s="10">
        <f>95000+3990000-1660842.36-1388000</f>
        <v>1036157.6399999997</v>
      </c>
      <c r="E75" s="10">
        <f>95000+3990000-1600000-1388000</f>
        <v>1097000</v>
      </c>
    </row>
    <row r="76" spans="1:5" ht="66.75" customHeight="1">
      <c r="A76" s="14" t="s">
        <v>291</v>
      </c>
      <c r="B76" s="33" t="s">
        <v>292</v>
      </c>
      <c r="C76" s="23">
        <f aca="true" t="shared" si="7" ref="C76:E78">C77</f>
        <v>0</v>
      </c>
      <c r="D76" s="23">
        <f t="shared" si="7"/>
        <v>78000</v>
      </c>
      <c r="E76" s="23">
        <f t="shared" si="7"/>
        <v>78000</v>
      </c>
    </row>
    <row r="77" spans="1:5" ht="36" customHeight="1">
      <c r="A77" s="38" t="s">
        <v>293</v>
      </c>
      <c r="B77" s="25" t="s">
        <v>294</v>
      </c>
      <c r="C77" s="10">
        <f t="shared" si="7"/>
        <v>0</v>
      </c>
      <c r="D77" s="10">
        <f t="shared" si="7"/>
        <v>78000</v>
      </c>
      <c r="E77" s="10">
        <f t="shared" si="7"/>
        <v>78000</v>
      </c>
    </row>
    <row r="78" spans="1:5" ht="60" customHeight="1">
      <c r="A78" s="38" t="s">
        <v>295</v>
      </c>
      <c r="B78" s="25" t="s">
        <v>296</v>
      </c>
      <c r="C78" s="10">
        <f t="shared" si="7"/>
        <v>0</v>
      </c>
      <c r="D78" s="10">
        <f t="shared" si="7"/>
        <v>78000</v>
      </c>
      <c r="E78" s="10">
        <f t="shared" si="7"/>
        <v>78000</v>
      </c>
    </row>
    <row r="79" spans="1:5" ht="57" customHeight="1">
      <c r="A79" s="38" t="s">
        <v>297</v>
      </c>
      <c r="B79" s="25" t="s">
        <v>296</v>
      </c>
      <c r="C79" s="10">
        <f>78000-40000-30000-8000</f>
        <v>0</v>
      </c>
      <c r="D79" s="10">
        <v>78000</v>
      </c>
      <c r="E79" s="10">
        <v>78000</v>
      </c>
    </row>
    <row r="80" spans="1:5" ht="18.75">
      <c r="A80" s="14" t="s">
        <v>19</v>
      </c>
      <c r="B80" s="17" t="s">
        <v>85</v>
      </c>
      <c r="C80" s="23">
        <f>C83+C86</f>
        <v>1205000</v>
      </c>
      <c r="D80" s="23">
        <f>D83+D86</f>
        <v>1210000</v>
      </c>
      <c r="E80" s="23">
        <f>E83+E86</f>
        <v>1210000</v>
      </c>
    </row>
    <row r="81" spans="1:5" ht="56.25">
      <c r="A81" s="38" t="s">
        <v>61</v>
      </c>
      <c r="B81" s="12" t="s">
        <v>155</v>
      </c>
      <c r="C81" s="26">
        <f aca="true" t="shared" si="8" ref="C81:E82">C82</f>
        <v>1200000</v>
      </c>
      <c r="D81" s="26">
        <f t="shared" si="8"/>
        <v>1200000</v>
      </c>
      <c r="E81" s="26">
        <f t="shared" si="8"/>
        <v>1200000</v>
      </c>
    </row>
    <row r="82" spans="1:5" ht="93.75">
      <c r="A82" s="38" t="s">
        <v>62</v>
      </c>
      <c r="B82" s="20" t="s">
        <v>156</v>
      </c>
      <c r="C82" s="26">
        <f t="shared" si="8"/>
        <v>1200000</v>
      </c>
      <c r="D82" s="26">
        <f t="shared" si="8"/>
        <v>1200000</v>
      </c>
      <c r="E82" s="26">
        <f t="shared" si="8"/>
        <v>1200000</v>
      </c>
    </row>
    <row r="83" spans="1:5" ht="93.75">
      <c r="A83" s="38" t="s">
        <v>20</v>
      </c>
      <c r="B83" s="20" t="s">
        <v>156</v>
      </c>
      <c r="C83" s="26">
        <v>1200000</v>
      </c>
      <c r="D83" s="26">
        <v>1200000</v>
      </c>
      <c r="E83" s="26">
        <v>1200000</v>
      </c>
    </row>
    <row r="84" spans="1:5" ht="75">
      <c r="A84" s="38" t="s">
        <v>21</v>
      </c>
      <c r="B84" s="12" t="s">
        <v>157</v>
      </c>
      <c r="C84" s="18">
        <f aca="true" t="shared" si="9" ref="C84:E85">C85</f>
        <v>5000</v>
      </c>
      <c r="D84" s="18">
        <f t="shared" si="9"/>
        <v>10000</v>
      </c>
      <c r="E84" s="18">
        <f t="shared" si="9"/>
        <v>10000</v>
      </c>
    </row>
    <row r="85" spans="1:5" ht="56.25">
      <c r="A85" s="38" t="s">
        <v>63</v>
      </c>
      <c r="B85" s="20" t="s">
        <v>158</v>
      </c>
      <c r="C85" s="18">
        <f t="shared" si="9"/>
        <v>5000</v>
      </c>
      <c r="D85" s="18">
        <f t="shared" si="9"/>
        <v>10000</v>
      </c>
      <c r="E85" s="18">
        <f t="shared" si="9"/>
        <v>10000</v>
      </c>
    </row>
    <row r="86" spans="1:5" ht="56.25">
      <c r="A86" s="38" t="s">
        <v>78</v>
      </c>
      <c r="B86" s="20" t="s">
        <v>158</v>
      </c>
      <c r="C86" s="18">
        <f>10000-5000</f>
        <v>5000</v>
      </c>
      <c r="D86" s="19">
        <v>10000</v>
      </c>
      <c r="E86" s="19">
        <v>10000</v>
      </c>
    </row>
    <row r="87" spans="1:5" ht="93.75">
      <c r="A87" s="14" t="s">
        <v>404</v>
      </c>
      <c r="B87" s="15" t="s">
        <v>405</v>
      </c>
      <c r="C87" s="16">
        <f aca="true" t="shared" si="10" ref="C87:E90">C88</f>
        <v>0.3</v>
      </c>
      <c r="D87" s="16">
        <f t="shared" si="10"/>
        <v>0</v>
      </c>
      <c r="E87" s="16">
        <f t="shared" si="10"/>
        <v>0</v>
      </c>
    </row>
    <row r="88" spans="1:5" ht="75">
      <c r="A88" s="38" t="s">
        <v>408</v>
      </c>
      <c r="B88" s="20" t="s">
        <v>409</v>
      </c>
      <c r="C88" s="18">
        <f t="shared" si="10"/>
        <v>0.3</v>
      </c>
      <c r="D88" s="18">
        <f t="shared" si="10"/>
        <v>0</v>
      </c>
      <c r="E88" s="18">
        <f t="shared" si="10"/>
        <v>0</v>
      </c>
    </row>
    <row r="89" spans="1:5" ht="37.5">
      <c r="A89" s="38" t="s">
        <v>410</v>
      </c>
      <c r="B89" s="20" t="s">
        <v>411</v>
      </c>
      <c r="C89" s="18">
        <f t="shared" si="10"/>
        <v>0.3</v>
      </c>
      <c r="D89" s="18">
        <f t="shared" si="10"/>
        <v>0</v>
      </c>
      <c r="E89" s="18">
        <f t="shared" si="10"/>
        <v>0</v>
      </c>
    </row>
    <row r="90" spans="1:5" ht="75">
      <c r="A90" s="38" t="s">
        <v>412</v>
      </c>
      <c r="B90" s="20" t="s">
        <v>413</v>
      </c>
      <c r="C90" s="18">
        <f t="shared" si="10"/>
        <v>0.3</v>
      </c>
      <c r="D90" s="18">
        <f t="shared" si="10"/>
        <v>0</v>
      </c>
      <c r="E90" s="18">
        <f t="shared" si="10"/>
        <v>0</v>
      </c>
    </row>
    <row r="91" spans="1:5" ht="75">
      <c r="A91" s="38" t="s">
        <v>414</v>
      </c>
      <c r="B91" s="20" t="s">
        <v>413</v>
      </c>
      <c r="C91" s="18">
        <v>0.3</v>
      </c>
      <c r="D91" s="19">
        <v>0</v>
      </c>
      <c r="E91" s="19">
        <v>0</v>
      </c>
    </row>
    <row r="92" spans="1:8" ht="93.75">
      <c r="A92" s="14" t="s">
        <v>22</v>
      </c>
      <c r="B92" s="17" t="s">
        <v>159</v>
      </c>
      <c r="C92" s="23">
        <f>C96+C93</f>
        <v>2356575.04</v>
      </c>
      <c r="D92" s="23">
        <f>D96+D93</f>
        <v>1350001.62</v>
      </c>
      <c r="E92" s="23">
        <f>E96+E93</f>
        <v>1345500</v>
      </c>
      <c r="F92" s="7"/>
      <c r="G92" s="7"/>
      <c r="H92" s="7"/>
    </row>
    <row r="93" spans="1:8" ht="75">
      <c r="A93" s="22" t="s">
        <v>212</v>
      </c>
      <c r="B93" s="12" t="s">
        <v>213</v>
      </c>
      <c r="C93" s="10">
        <f aca="true" t="shared" si="11" ref="C93:E94">C94</f>
        <v>24759.48</v>
      </c>
      <c r="D93" s="10">
        <f t="shared" si="11"/>
        <v>4501.62</v>
      </c>
      <c r="E93" s="10">
        <f t="shared" si="11"/>
        <v>0</v>
      </c>
      <c r="F93" s="7"/>
      <c r="G93" s="7"/>
      <c r="H93" s="7"/>
    </row>
    <row r="94" spans="1:8" ht="93.75">
      <c r="A94" s="22" t="s">
        <v>214</v>
      </c>
      <c r="B94" s="12" t="s">
        <v>215</v>
      </c>
      <c r="C94" s="10">
        <f t="shared" si="11"/>
        <v>24759.48</v>
      </c>
      <c r="D94" s="10">
        <f t="shared" si="11"/>
        <v>4501.62</v>
      </c>
      <c r="E94" s="10">
        <f t="shared" si="11"/>
        <v>0</v>
      </c>
      <c r="F94" s="7"/>
      <c r="G94" s="7"/>
      <c r="H94" s="7"/>
    </row>
    <row r="95" spans="1:8" ht="93.75">
      <c r="A95" s="22" t="s">
        <v>216</v>
      </c>
      <c r="B95" s="12" t="s">
        <v>215</v>
      </c>
      <c r="C95" s="10">
        <f>30582.25-5822.77</f>
        <v>24759.48</v>
      </c>
      <c r="D95" s="10">
        <f>10706.75-6205.13</f>
        <v>4501.62</v>
      </c>
      <c r="E95" s="10">
        <v>0</v>
      </c>
      <c r="F95" s="7"/>
      <c r="G95" s="7"/>
      <c r="H95" s="7"/>
    </row>
    <row r="96" spans="1:5" ht="187.5">
      <c r="A96" s="38" t="s">
        <v>23</v>
      </c>
      <c r="B96" s="20" t="s">
        <v>160</v>
      </c>
      <c r="C96" s="26">
        <f>C97+C102+C105</f>
        <v>2331815.56</v>
      </c>
      <c r="D96" s="26">
        <f>D97+D102+D105</f>
        <v>1345500</v>
      </c>
      <c r="E96" s="26">
        <f>E97+E102+E105</f>
        <v>1345500</v>
      </c>
    </row>
    <row r="97" spans="1:5" ht="131.25">
      <c r="A97" s="38" t="s">
        <v>35</v>
      </c>
      <c r="B97" s="20" t="s">
        <v>161</v>
      </c>
      <c r="C97" s="18">
        <f>C100+C98</f>
        <v>1611713.61</v>
      </c>
      <c r="D97" s="18">
        <f>D100+D98</f>
        <v>1298500</v>
      </c>
      <c r="E97" s="18">
        <f>E100+E98</f>
        <v>1298500</v>
      </c>
    </row>
    <row r="98" spans="1:5" ht="187.5">
      <c r="A98" s="38" t="s">
        <v>87</v>
      </c>
      <c r="B98" s="20" t="s">
        <v>162</v>
      </c>
      <c r="C98" s="18">
        <f>C99</f>
        <v>711713.6100000001</v>
      </c>
      <c r="D98" s="18">
        <f>D99</f>
        <v>398500</v>
      </c>
      <c r="E98" s="18">
        <f>E99</f>
        <v>398500</v>
      </c>
    </row>
    <row r="99" spans="1:5" ht="187.5">
      <c r="A99" s="38" t="s">
        <v>88</v>
      </c>
      <c r="B99" s="20" t="s">
        <v>162</v>
      </c>
      <c r="C99" s="18">
        <f>398500+80900+77670.04+154643.57</f>
        <v>711713.6100000001</v>
      </c>
      <c r="D99" s="18">
        <v>398500</v>
      </c>
      <c r="E99" s="18">
        <v>398500</v>
      </c>
    </row>
    <row r="100" spans="1:5" ht="168.75">
      <c r="A100" s="38" t="s">
        <v>74</v>
      </c>
      <c r="B100" s="27" t="s">
        <v>163</v>
      </c>
      <c r="C100" s="18">
        <f>C101</f>
        <v>900000</v>
      </c>
      <c r="D100" s="18">
        <f>D101</f>
        <v>900000</v>
      </c>
      <c r="E100" s="18">
        <f>E101</f>
        <v>900000</v>
      </c>
    </row>
    <row r="101" spans="1:5" ht="168.75">
      <c r="A101" s="38" t="s">
        <v>75</v>
      </c>
      <c r="B101" s="27" t="s">
        <v>163</v>
      </c>
      <c r="C101" s="18">
        <v>900000</v>
      </c>
      <c r="D101" s="18">
        <v>900000</v>
      </c>
      <c r="E101" s="18">
        <v>900000</v>
      </c>
    </row>
    <row r="102" spans="1:5" ht="168.75">
      <c r="A102" s="38" t="s">
        <v>52</v>
      </c>
      <c r="B102" s="20" t="s">
        <v>50</v>
      </c>
      <c r="C102" s="18">
        <f aca="true" t="shared" si="12" ref="C102:E103">C103</f>
        <v>33076.18</v>
      </c>
      <c r="D102" s="18">
        <f t="shared" si="12"/>
        <v>30000</v>
      </c>
      <c r="E102" s="18">
        <f t="shared" si="12"/>
        <v>30000</v>
      </c>
    </row>
    <row r="103" spans="1:5" ht="150">
      <c r="A103" s="38" t="s">
        <v>64</v>
      </c>
      <c r="B103" s="20" t="s">
        <v>51</v>
      </c>
      <c r="C103" s="18">
        <f t="shared" si="12"/>
        <v>33076.18</v>
      </c>
      <c r="D103" s="18">
        <f t="shared" si="12"/>
        <v>30000</v>
      </c>
      <c r="E103" s="18">
        <f t="shared" si="12"/>
        <v>30000</v>
      </c>
    </row>
    <row r="104" spans="1:5" ht="150">
      <c r="A104" s="38" t="s">
        <v>49</v>
      </c>
      <c r="B104" s="20" t="s">
        <v>51</v>
      </c>
      <c r="C104" s="18">
        <f>30000+3076.18</f>
        <v>33076.18</v>
      </c>
      <c r="D104" s="18">
        <v>30000</v>
      </c>
      <c r="E104" s="18">
        <v>30000</v>
      </c>
    </row>
    <row r="105" spans="1:5" ht="187.5" customHeight="1">
      <c r="A105" s="38" t="s">
        <v>36</v>
      </c>
      <c r="B105" s="20" t="s">
        <v>268</v>
      </c>
      <c r="C105" s="19">
        <f aca="true" t="shared" si="13" ref="C105:E106">C106</f>
        <v>687025.77</v>
      </c>
      <c r="D105" s="19">
        <f t="shared" si="13"/>
        <v>17000</v>
      </c>
      <c r="E105" s="19">
        <f t="shared" si="13"/>
        <v>17000</v>
      </c>
    </row>
    <row r="106" spans="1:5" ht="131.25">
      <c r="A106" s="38" t="s">
        <v>65</v>
      </c>
      <c r="B106" s="20" t="s">
        <v>164</v>
      </c>
      <c r="C106" s="19">
        <f t="shared" si="13"/>
        <v>687025.77</v>
      </c>
      <c r="D106" s="19">
        <f t="shared" si="13"/>
        <v>17000</v>
      </c>
      <c r="E106" s="19">
        <f t="shared" si="13"/>
        <v>17000</v>
      </c>
    </row>
    <row r="107" spans="1:5" ht="131.25">
      <c r="A107" s="38" t="s">
        <v>24</v>
      </c>
      <c r="B107" s="20" t="s">
        <v>164</v>
      </c>
      <c r="C107" s="19">
        <f>17000+60000+9000+44942.4+556083.37</f>
        <v>687025.77</v>
      </c>
      <c r="D107" s="19">
        <v>17000</v>
      </c>
      <c r="E107" s="19">
        <v>17000</v>
      </c>
    </row>
    <row r="108" spans="1:5" ht="37.5">
      <c r="A108" s="14" t="s">
        <v>25</v>
      </c>
      <c r="B108" s="17" t="s">
        <v>46</v>
      </c>
      <c r="C108" s="23">
        <f>C109</f>
        <v>142000</v>
      </c>
      <c r="D108" s="23">
        <f>D109</f>
        <v>269000</v>
      </c>
      <c r="E108" s="23">
        <f>E109</f>
        <v>269000</v>
      </c>
    </row>
    <row r="109" spans="1:5" ht="37.5">
      <c r="A109" s="38" t="s">
        <v>37</v>
      </c>
      <c r="B109" s="12" t="s">
        <v>165</v>
      </c>
      <c r="C109" s="10">
        <f>C110+C113</f>
        <v>142000</v>
      </c>
      <c r="D109" s="10">
        <f>D110+D113</f>
        <v>269000</v>
      </c>
      <c r="E109" s="10">
        <f>E110+E113</f>
        <v>269000</v>
      </c>
    </row>
    <row r="110" spans="1:5" ht="75">
      <c r="A110" s="38" t="s">
        <v>318</v>
      </c>
      <c r="B110" s="12" t="s">
        <v>319</v>
      </c>
      <c r="C110" s="10">
        <f aca="true" t="shared" si="14" ref="C110:E111">C111</f>
        <v>21000</v>
      </c>
      <c r="D110" s="10">
        <f t="shared" si="14"/>
        <v>21000</v>
      </c>
      <c r="E110" s="10">
        <f t="shared" si="14"/>
        <v>21000</v>
      </c>
    </row>
    <row r="111" spans="1:5" ht="150" customHeight="1">
      <c r="A111" s="38" t="s">
        <v>270</v>
      </c>
      <c r="B111" s="12" t="s">
        <v>269</v>
      </c>
      <c r="C111" s="10">
        <f t="shared" si="14"/>
        <v>21000</v>
      </c>
      <c r="D111" s="10">
        <f t="shared" si="14"/>
        <v>21000</v>
      </c>
      <c r="E111" s="10">
        <f t="shared" si="14"/>
        <v>21000</v>
      </c>
    </row>
    <row r="112" spans="1:5" ht="168.75">
      <c r="A112" s="38" t="s">
        <v>271</v>
      </c>
      <c r="B112" s="12" t="s">
        <v>269</v>
      </c>
      <c r="C112" s="10">
        <v>21000</v>
      </c>
      <c r="D112" s="10">
        <v>21000</v>
      </c>
      <c r="E112" s="10">
        <v>21000</v>
      </c>
    </row>
    <row r="113" spans="1:5" ht="37.5">
      <c r="A113" s="38" t="s">
        <v>66</v>
      </c>
      <c r="B113" s="12" t="s">
        <v>26</v>
      </c>
      <c r="C113" s="26">
        <f>C114+C116</f>
        <v>121000</v>
      </c>
      <c r="D113" s="26">
        <f>D114+D116</f>
        <v>248000</v>
      </c>
      <c r="E113" s="26">
        <f>E114+E116</f>
        <v>248000</v>
      </c>
    </row>
    <row r="114" spans="1:5" ht="131.25">
      <c r="A114" s="38" t="s">
        <v>273</v>
      </c>
      <c r="B114" s="12" t="s">
        <v>272</v>
      </c>
      <c r="C114" s="26">
        <f>C115</f>
        <v>11000</v>
      </c>
      <c r="D114" s="26">
        <f>D115</f>
        <v>138000</v>
      </c>
      <c r="E114" s="26">
        <f>E115</f>
        <v>138000</v>
      </c>
    </row>
    <row r="115" spans="1:5" ht="131.25">
      <c r="A115" s="38" t="s">
        <v>274</v>
      </c>
      <c r="B115" s="12" t="s">
        <v>272</v>
      </c>
      <c r="C115" s="26">
        <f>130000+8000-77000-50000</f>
        <v>11000</v>
      </c>
      <c r="D115" s="19">
        <f>130000+8000</f>
        <v>138000</v>
      </c>
      <c r="E115" s="19">
        <f>130000+8000</f>
        <v>138000</v>
      </c>
    </row>
    <row r="116" spans="1:5" ht="131.25">
      <c r="A116" s="38" t="s">
        <v>275</v>
      </c>
      <c r="B116" s="12" t="s">
        <v>277</v>
      </c>
      <c r="C116" s="26">
        <f>C117</f>
        <v>110000</v>
      </c>
      <c r="D116" s="26">
        <f>D117</f>
        <v>110000</v>
      </c>
      <c r="E116" s="26">
        <f>E117</f>
        <v>110000</v>
      </c>
    </row>
    <row r="117" spans="1:5" ht="131.25">
      <c r="A117" s="38" t="s">
        <v>276</v>
      </c>
      <c r="B117" s="12" t="s">
        <v>277</v>
      </c>
      <c r="C117" s="26">
        <f>100000+10000</f>
        <v>110000</v>
      </c>
      <c r="D117" s="19">
        <f>100000+10000</f>
        <v>110000</v>
      </c>
      <c r="E117" s="19">
        <f>100000+10000</f>
        <v>110000</v>
      </c>
    </row>
    <row r="118" spans="1:5" ht="75">
      <c r="A118" s="14" t="s">
        <v>27</v>
      </c>
      <c r="B118" s="15" t="s">
        <v>166</v>
      </c>
      <c r="C118" s="23">
        <f>C119+C125</f>
        <v>800461.85</v>
      </c>
      <c r="D118" s="23">
        <f>D119+D125</f>
        <v>519000</v>
      </c>
      <c r="E118" s="23">
        <f>E119+E125</f>
        <v>519000</v>
      </c>
    </row>
    <row r="119" spans="1:5" ht="37.5">
      <c r="A119" s="38" t="s">
        <v>38</v>
      </c>
      <c r="B119" s="20" t="s">
        <v>167</v>
      </c>
      <c r="C119" s="10">
        <f aca="true" t="shared" si="15" ref="C119:E121">C120</f>
        <v>259000</v>
      </c>
      <c r="D119" s="10">
        <f t="shared" si="15"/>
        <v>509000</v>
      </c>
      <c r="E119" s="10">
        <f t="shared" si="15"/>
        <v>509000</v>
      </c>
    </row>
    <row r="120" spans="1:5" ht="37.5">
      <c r="A120" s="38" t="s">
        <v>39</v>
      </c>
      <c r="B120" s="20" t="s">
        <v>168</v>
      </c>
      <c r="C120" s="10">
        <f t="shared" si="15"/>
        <v>259000</v>
      </c>
      <c r="D120" s="10">
        <f t="shared" si="15"/>
        <v>509000</v>
      </c>
      <c r="E120" s="10">
        <f t="shared" si="15"/>
        <v>509000</v>
      </c>
    </row>
    <row r="121" spans="1:5" ht="56.25">
      <c r="A121" s="38" t="s">
        <v>28</v>
      </c>
      <c r="B121" s="20" t="s">
        <v>169</v>
      </c>
      <c r="C121" s="10">
        <f>C122</f>
        <v>259000</v>
      </c>
      <c r="D121" s="10">
        <f t="shared" si="15"/>
        <v>509000</v>
      </c>
      <c r="E121" s="10">
        <f t="shared" si="15"/>
        <v>509000</v>
      </c>
    </row>
    <row r="122" spans="1:5" ht="93.75">
      <c r="A122" s="38" t="s">
        <v>396</v>
      </c>
      <c r="B122" s="20" t="s">
        <v>393</v>
      </c>
      <c r="C122" s="10">
        <f>SUM(C123:C124)</f>
        <v>259000</v>
      </c>
      <c r="D122" s="10">
        <f>SUM(D123:D124)</f>
        <v>509000</v>
      </c>
      <c r="E122" s="10">
        <f>SUM(E123:E124)</f>
        <v>509000</v>
      </c>
    </row>
    <row r="123" spans="1:5" ht="93.75">
      <c r="A123" s="38" t="s">
        <v>392</v>
      </c>
      <c r="B123" s="20" t="s">
        <v>393</v>
      </c>
      <c r="C123" s="18">
        <v>9000</v>
      </c>
      <c r="D123" s="19">
        <v>9000</v>
      </c>
      <c r="E123" s="19">
        <v>9000</v>
      </c>
    </row>
    <row r="124" spans="1:5" ht="93.75">
      <c r="A124" s="38" t="s">
        <v>391</v>
      </c>
      <c r="B124" s="20" t="s">
        <v>393</v>
      </c>
      <c r="C124" s="18">
        <f>500000-250000</f>
        <v>250000</v>
      </c>
      <c r="D124" s="18">
        <v>500000</v>
      </c>
      <c r="E124" s="18">
        <v>500000</v>
      </c>
    </row>
    <row r="125" spans="1:5" ht="37.5">
      <c r="A125" s="38" t="s">
        <v>70</v>
      </c>
      <c r="B125" s="12" t="s">
        <v>170</v>
      </c>
      <c r="C125" s="18">
        <f aca="true" t="shared" si="16" ref="C125:E127">C126</f>
        <v>541461.85</v>
      </c>
      <c r="D125" s="18">
        <f t="shared" si="16"/>
        <v>10000</v>
      </c>
      <c r="E125" s="18">
        <f t="shared" si="16"/>
        <v>10000</v>
      </c>
    </row>
    <row r="126" spans="1:5" ht="37.5">
      <c r="A126" s="28" t="s">
        <v>71</v>
      </c>
      <c r="B126" s="12" t="s">
        <v>171</v>
      </c>
      <c r="C126" s="18">
        <f t="shared" si="16"/>
        <v>541461.85</v>
      </c>
      <c r="D126" s="18">
        <f t="shared" si="16"/>
        <v>10000</v>
      </c>
      <c r="E126" s="18">
        <f t="shared" si="16"/>
        <v>10000</v>
      </c>
    </row>
    <row r="127" spans="1:5" ht="37.5">
      <c r="A127" s="28" t="s">
        <v>72</v>
      </c>
      <c r="B127" s="12" t="s">
        <v>81</v>
      </c>
      <c r="C127" s="18">
        <f>C128</f>
        <v>541461.85</v>
      </c>
      <c r="D127" s="18">
        <f t="shared" si="16"/>
        <v>10000</v>
      </c>
      <c r="E127" s="18">
        <f t="shared" si="16"/>
        <v>10000</v>
      </c>
    </row>
    <row r="128" spans="1:5" ht="75">
      <c r="A128" s="28" t="s">
        <v>397</v>
      </c>
      <c r="B128" s="12" t="s">
        <v>395</v>
      </c>
      <c r="C128" s="18">
        <f>SUM(C129:C131)</f>
        <v>541461.85</v>
      </c>
      <c r="D128" s="18">
        <f>SUM(D129:D131)</f>
        <v>10000</v>
      </c>
      <c r="E128" s="18">
        <f>SUM(E129:E131)</f>
        <v>10000</v>
      </c>
    </row>
    <row r="129" spans="1:5" ht="75">
      <c r="A129" s="28" t="s">
        <v>406</v>
      </c>
      <c r="B129" s="12" t="s">
        <v>395</v>
      </c>
      <c r="C129" s="18">
        <f>5443.53+23092.02+113076.1</f>
        <v>141611.65</v>
      </c>
      <c r="D129" s="18">
        <v>0</v>
      </c>
      <c r="E129" s="18">
        <v>0</v>
      </c>
    </row>
    <row r="130" spans="1:5" ht="75">
      <c r="A130" s="28" t="s">
        <v>394</v>
      </c>
      <c r="B130" s="12" t="s">
        <v>395</v>
      </c>
      <c r="C130" s="18">
        <f>10000-5443.53-4556.47</f>
        <v>0</v>
      </c>
      <c r="D130" s="18">
        <v>10000</v>
      </c>
      <c r="E130" s="18">
        <v>10000</v>
      </c>
    </row>
    <row r="131" spans="1:5" ht="75">
      <c r="A131" s="28" t="s">
        <v>440</v>
      </c>
      <c r="B131" s="12" t="s">
        <v>395</v>
      </c>
      <c r="C131" s="18">
        <v>399850.2</v>
      </c>
      <c r="D131" s="18">
        <v>0</v>
      </c>
      <c r="E131" s="18">
        <v>0</v>
      </c>
    </row>
    <row r="132" spans="1:5" ht="56.25">
      <c r="A132" s="14" t="s">
        <v>29</v>
      </c>
      <c r="B132" s="17" t="s">
        <v>172</v>
      </c>
      <c r="C132" s="23">
        <f>C133+C137</f>
        <v>402298.76</v>
      </c>
      <c r="D132" s="23">
        <f>D133+D137</f>
        <v>270000</v>
      </c>
      <c r="E132" s="23">
        <f>E133+E137</f>
        <v>270000</v>
      </c>
    </row>
    <row r="133" spans="1:5" ht="168.75">
      <c r="A133" s="38" t="s">
        <v>30</v>
      </c>
      <c r="B133" s="20" t="s">
        <v>173</v>
      </c>
      <c r="C133" s="18">
        <f>C134</f>
        <v>27649.999999999996</v>
      </c>
      <c r="D133" s="18">
        <f aca="true" t="shared" si="17" ref="D133:E135">D134</f>
        <v>200000</v>
      </c>
      <c r="E133" s="18">
        <f t="shared" si="17"/>
        <v>200000</v>
      </c>
    </row>
    <row r="134" spans="1:5" ht="187.5">
      <c r="A134" s="38" t="s">
        <v>67</v>
      </c>
      <c r="B134" s="20" t="s">
        <v>174</v>
      </c>
      <c r="C134" s="18">
        <f>C135</f>
        <v>27649.999999999996</v>
      </c>
      <c r="D134" s="18">
        <f t="shared" si="17"/>
        <v>200000</v>
      </c>
      <c r="E134" s="18">
        <f t="shared" si="17"/>
        <v>200000</v>
      </c>
    </row>
    <row r="135" spans="1:5" ht="187.5">
      <c r="A135" s="38" t="s">
        <v>68</v>
      </c>
      <c r="B135" s="20" t="s">
        <v>175</v>
      </c>
      <c r="C135" s="18">
        <f>C136</f>
        <v>27649.999999999996</v>
      </c>
      <c r="D135" s="18">
        <f t="shared" si="17"/>
        <v>200000</v>
      </c>
      <c r="E135" s="18">
        <f t="shared" si="17"/>
        <v>200000</v>
      </c>
    </row>
    <row r="136" spans="1:5" ht="187.5">
      <c r="A136" s="38" t="s">
        <v>31</v>
      </c>
      <c r="B136" s="20" t="s">
        <v>175</v>
      </c>
      <c r="C136" s="18">
        <f>200000-6969.85-104884.76-5370.03-56764.3+1638.94</f>
        <v>27649.999999999996</v>
      </c>
      <c r="D136" s="18">
        <v>200000</v>
      </c>
      <c r="E136" s="18">
        <v>200000</v>
      </c>
    </row>
    <row r="137" spans="1:5" ht="75">
      <c r="A137" s="38" t="s">
        <v>32</v>
      </c>
      <c r="B137" s="12" t="s">
        <v>176</v>
      </c>
      <c r="C137" s="26">
        <f>C138</f>
        <v>374648.76</v>
      </c>
      <c r="D137" s="26">
        <f>D138</f>
        <v>70000</v>
      </c>
      <c r="E137" s="26">
        <f>E138</f>
        <v>70000</v>
      </c>
    </row>
    <row r="138" spans="1:5" ht="75">
      <c r="A138" s="38" t="s">
        <v>40</v>
      </c>
      <c r="B138" s="25" t="s">
        <v>91</v>
      </c>
      <c r="C138" s="26">
        <f>C141+C139</f>
        <v>374648.76</v>
      </c>
      <c r="D138" s="26">
        <f>D141+D139</f>
        <v>70000</v>
      </c>
      <c r="E138" s="26">
        <f>E141+E139</f>
        <v>70000</v>
      </c>
    </row>
    <row r="139" spans="1:5" ht="131.25">
      <c r="A139" s="38" t="s">
        <v>89</v>
      </c>
      <c r="B139" s="12" t="s">
        <v>177</v>
      </c>
      <c r="C139" s="26">
        <f>C140</f>
        <v>102461.34</v>
      </c>
      <c r="D139" s="26">
        <f>D140</f>
        <v>30000</v>
      </c>
      <c r="E139" s="26">
        <f>E140</f>
        <v>30000</v>
      </c>
    </row>
    <row r="140" spans="1:5" ht="131.25">
      <c r="A140" s="38" t="s">
        <v>90</v>
      </c>
      <c r="B140" s="12" t="s">
        <v>177</v>
      </c>
      <c r="C140" s="26">
        <f>30000+56764.3+15697.04</f>
        <v>102461.34</v>
      </c>
      <c r="D140" s="26">
        <v>30000</v>
      </c>
      <c r="E140" s="26">
        <v>30000</v>
      </c>
    </row>
    <row r="141" spans="1:5" ht="93.75">
      <c r="A141" s="38" t="s">
        <v>77</v>
      </c>
      <c r="B141" s="25" t="s">
        <v>178</v>
      </c>
      <c r="C141" s="26">
        <f>C142</f>
        <v>272187.42</v>
      </c>
      <c r="D141" s="26">
        <f>D142</f>
        <v>40000</v>
      </c>
      <c r="E141" s="26">
        <f>E142</f>
        <v>40000</v>
      </c>
    </row>
    <row r="142" spans="1:5" ht="93.75">
      <c r="A142" s="38" t="s">
        <v>76</v>
      </c>
      <c r="B142" s="25" t="s">
        <v>178</v>
      </c>
      <c r="C142" s="26">
        <f>40000+38611.68+6969.85+5370.03+181235.86</f>
        <v>272187.42</v>
      </c>
      <c r="D142" s="19">
        <v>40000</v>
      </c>
      <c r="E142" s="19">
        <v>40000</v>
      </c>
    </row>
    <row r="143" spans="1:5" ht="37.5">
      <c r="A143" s="14" t="s">
        <v>33</v>
      </c>
      <c r="B143" s="17" t="s">
        <v>179</v>
      </c>
      <c r="C143" s="23">
        <f>C144+C179+C183+C192</f>
        <v>302694.93</v>
      </c>
      <c r="D143" s="23">
        <f>D144+D179+D183+D192</f>
        <v>162000</v>
      </c>
      <c r="E143" s="23">
        <f>E144+E179+E183+E192</f>
        <v>162000</v>
      </c>
    </row>
    <row r="144" spans="1:5" ht="75">
      <c r="A144" s="38" t="s">
        <v>137</v>
      </c>
      <c r="B144" s="12" t="s">
        <v>180</v>
      </c>
      <c r="C144" s="10">
        <f>C166+C172+C175+C145+C149+C163+C169+C152+C160+C157</f>
        <v>173157.66999999998</v>
      </c>
      <c r="D144" s="10">
        <f>D166+D172+D175+D145+D149+D163+D169+D152+D160+D157</f>
        <v>15000</v>
      </c>
      <c r="E144" s="10">
        <f>E166+E172+E175+E145+E149+E163+E169+E152+E160+E157</f>
        <v>15000</v>
      </c>
    </row>
    <row r="145" spans="1:5" ht="131.25">
      <c r="A145" s="38" t="s">
        <v>354</v>
      </c>
      <c r="B145" s="12" t="s">
        <v>355</v>
      </c>
      <c r="C145" s="10">
        <f>C146</f>
        <v>74058.72</v>
      </c>
      <c r="D145" s="10">
        <f>D146</f>
        <v>0</v>
      </c>
      <c r="E145" s="10">
        <f>E146</f>
        <v>0</v>
      </c>
    </row>
    <row r="146" spans="1:5" ht="187.5">
      <c r="A146" s="38" t="s">
        <v>357</v>
      </c>
      <c r="B146" s="12" t="s">
        <v>356</v>
      </c>
      <c r="C146" s="10">
        <f>SUM(C147:C148)</f>
        <v>74058.72</v>
      </c>
      <c r="D146" s="10">
        <f>SUM(D147:D148)</f>
        <v>0</v>
      </c>
      <c r="E146" s="10">
        <f>SUM(E147:E148)</f>
        <v>0</v>
      </c>
    </row>
    <row r="147" spans="1:5" ht="187.5">
      <c r="A147" s="38" t="s">
        <v>358</v>
      </c>
      <c r="B147" s="12" t="s">
        <v>356</v>
      </c>
      <c r="C147" s="10">
        <f>1500+688.09+3111.19+12759.44</f>
        <v>18058.72</v>
      </c>
      <c r="D147" s="10">
        <v>0</v>
      </c>
      <c r="E147" s="10">
        <v>0</v>
      </c>
    </row>
    <row r="148" spans="1:5" ht="187.5">
      <c r="A148" s="38" t="s">
        <v>359</v>
      </c>
      <c r="B148" s="12" t="s">
        <v>356</v>
      </c>
      <c r="C148" s="10">
        <f>46000+10000</f>
        <v>56000</v>
      </c>
      <c r="D148" s="10">
        <v>0</v>
      </c>
      <c r="E148" s="10">
        <v>0</v>
      </c>
    </row>
    <row r="149" spans="1:5" ht="187.5">
      <c r="A149" s="38" t="s">
        <v>360</v>
      </c>
      <c r="B149" s="12" t="s">
        <v>361</v>
      </c>
      <c r="C149" s="10">
        <f aca="true" t="shared" si="18" ref="C149:E150">C150</f>
        <v>750</v>
      </c>
      <c r="D149" s="10">
        <f t="shared" si="18"/>
        <v>0</v>
      </c>
      <c r="E149" s="10">
        <f t="shared" si="18"/>
        <v>0</v>
      </c>
    </row>
    <row r="150" spans="1:5" ht="225">
      <c r="A150" s="38" t="s">
        <v>362</v>
      </c>
      <c r="B150" s="12" t="s">
        <v>363</v>
      </c>
      <c r="C150" s="10">
        <f t="shared" si="18"/>
        <v>750</v>
      </c>
      <c r="D150" s="10">
        <f t="shared" si="18"/>
        <v>0</v>
      </c>
      <c r="E150" s="10">
        <f t="shared" si="18"/>
        <v>0</v>
      </c>
    </row>
    <row r="151" spans="1:5" ht="225">
      <c r="A151" s="38" t="s">
        <v>364</v>
      </c>
      <c r="B151" s="12" t="s">
        <v>363</v>
      </c>
      <c r="C151" s="10">
        <v>750</v>
      </c>
      <c r="D151" s="10">
        <v>0</v>
      </c>
      <c r="E151" s="10">
        <v>0</v>
      </c>
    </row>
    <row r="152" spans="1:5" ht="131.25">
      <c r="A152" s="39" t="s">
        <v>415</v>
      </c>
      <c r="B152" s="12" t="s">
        <v>416</v>
      </c>
      <c r="C152" s="10">
        <f>C153+C155</f>
        <v>1450</v>
      </c>
      <c r="D152" s="10">
        <f>D153+D155</f>
        <v>0</v>
      </c>
      <c r="E152" s="10">
        <f>E153+E155</f>
        <v>0</v>
      </c>
    </row>
    <row r="153" spans="1:5" ht="187.5">
      <c r="A153" s="39" t="s">
        <v>417</v>
      </c>
      <c r="B153" s="12" t="s">
        <v>418</v>
      </c>
      <c r="C153" s="10">
        <f>C154</f>
        <v>450</v>
      </c>
      <c r="D153" s="10">
        <f>D154</f>
        <v>0</v>
      </c>
      <c r="E153" s="10">
        <f>E154</f>
        <v>0</v>
      </c>
    </row>
    <row r="154" spans="1:5" ht="187.5">
      <c r="A154" s="39" t="s">
        <v>419</v>
      </c>
      <c r="B154" s="12" t="s">
        <v>418</v>
      </c>
      <c r="C154" s="10">
        <v>450</v>
      </c>
      <c r="D154" s="10">
        <v>0</v>
      </c>
      <c r="E154" s="10">
        <v>0</v>
      </c>
    </row>
    <row r="155" spans="1:5" ht="168.75">
      <c r="A155" s="39" t="s">
        <v>420</v>
      </c>
      <c r="B155" s="12" t="s">
        <v>421</v>
      </c>
      <c r="C155" s="10">
        <f>C156</f>
        <v>1000</v>
      </c>
      <c r="D155" s="10">
        <f>D156</f>
        <v>0</v>
      </c>
      <c r="E155" s="10">
        <f>E156</f>
        <v>0</v>
      </c>
    </row>
    <row r="156" spans="1:5" ht="168.75">
      <c r="A156" s="39" t="s">
        <v>422</v>
      </c>
      <c r="B156" s="12" t="s">
        <v>421</v>
      </c>
      <c r="C156" s="10">
        <v>1000</v>
      </c>
      <c r="D156" s="10">
        <v>0</v>
      </c>
      <c r="E156" s="10">
        <v>0</v>
      </c>
    </row>
    <row r="157" spans="1:5" ht="150">
      <c r="A157" s="40" t="s">
        <v>441</v>
      </c>
      <c r="B157" s="12" t="s">
        <v>444</v>
      </c>
      <c r="C157" s="10">
        <f aca="true" t="shared" si="19" ref="C157:E158">C158</f>
        <v>250</v>
      </c>
      <c r="D157" s="10">
        <f t="shared" si="19"/>
        <v>0</v>
      </c>
      <c r="E157" s="10">
        <f t="shared" si="19"/>
        <v>0</v>
      </c>
    </row>
    <row r="158" spans="1:5" ht="206.25">
      <c r="A158" s="40" t="s">
        <v>442</v>
      </c>
      <c r="B158" s="12" t="s">
        <v>445</v>
      </c>
      <c r="C158" s="10">
        <f t="shared" si="19"/>
        <v>250</v>
      </c>
      <c r="D158" s="10">
        <f t="shared" si="19"/>
        <v>0</v>
      </c>
      <c r="E158" s="10">
        <f t="shared" si="19"/>
        <v>0</v>
      </c>
    </row>
    <row r="159" spans="1:5" ht="206.25">
      <c r="A159" s="40" t="s">
        <v>443</v>
      </c>
      <c r="B159" s="12" t="s">
        <v>445</v>
      </c>
      <c r="C159" s="10">
        <v>250</v>
      </c>
      <c r="D159" s="10">
        <v>0</v>
      </c>
      <c r="E159" s="10">
        <v>0</v>
      </c>
    </row>
    <row r="160" spans="1:5" ht="150">
      <c r="A160" s="39" t="s">
        <v>423</v>
      </c>
      <c r="B160" s="12" t="s">
        <v>424</v>
      </c>
      <c r="C160" s="10">
        <f aca="true" t="shared" si="20" ref="C160:E161">C161</f>
        <v>4000</v>
      </c>
      <c r="D160" s="10">
        <f t="shared" si="20"/>
        <v>0</v>
      </c>
      <c r="E160" s="10">
        <f t="shared" si="20"/>
        <v>0</v>
      </c>
    </row>
    <row r="161" spans="1:5" ht="187.5">
      <c r="A161" s="39" t="s">
        <v>425</v>
      </c>
      <c r="B161" s="12" t="s">
        <v>426</v>
      </c>
      <c r="C161" s="10">
        <f t="shared" si="20"/>
        <v>4000</v>
      </c>
      <c r="D161" s="10">
        <f t="shared" si="20"/>
        <v>0</v>
      </c>
      <c r="E161" s="10">
        <f t="shared" si="20"/>
        <v>0</v>
      </c>
    </row>
    <row r="162" spans="1:5" ht="187.5">
      <c r="A162" s="39" t="s">
        <v>427</v>
      </c>
      <c r="B162" s="12" t="s">
        <v>426</v>
      </c>
      <c r="C162" s="10">
        <f>1000+3000</f>
        <v>4000</v>
      </c>
      <c r="D162" s="10">
        <v>0</v>
      </c>
      <c r="E162" s="10">
        <v>0</v>
      </c>
    </row>
    <row r="163" spans="1:5" ht="131.25">
      <c r="A163" s="38" t="s">
        <v>365</v>
      </c>
      <c r="B163" s="12" t="s">
        <v>366</v>
      </c>
      <c r="C163" s="10">
        <f aca="true" t="shared" si="21" ref="C163:E164">C164</f>
        <v>3000</v>
      </c>
      <c r="D163" s="10">
        <f t="shared" si="21"/>
        <v>0</v>
      </c>
      <c r="E163" s="10">
        <f t="shared" si="21"/>
        <v>0</v>
      </c>
    </row>
    <row r="164" spans="1:5" ht="187.5">
      <c r="A164" s="38" t="s">
        <v>367</v>
      </c>
      <c r="B164" s="12" t="s">
        <v>368</v>
      </c>
      <c r="C164" s="10">
        <f t="shared" si="21"/>
        <v>3000</v>
      </c>
      <c r="D164" s="10">
        <f t="shared" si="21"/>
        <v>0</v>
      </c>
      <c r="E164" s="10">
        <f t="shared" si="21"/>
        <v>0</v>
      </c>
    </row>
    <row r="165" spans="1:5" ht="187.5">
      <c r="A165" s="38" t="s">
        <v>369</v>
      </c>
      <c r="B165" s="12" t="s">
        <v>368</v>
      </c>
      <c r="C165" s="10">
        <f>1500+1500</f>
        <v>3000</v>
      </c>
      <c r="D165" s="10">
        <v>0</v>
      </c>
      <c r="E165" s="10">
        <v>0</v>
      </c>
    </row>
    <row r="166" spans="1:5" ht="150">
      <c r="A166" s="38" t="s">
        <v>298</v>
      </c>
      <c r="B166" s="35" t="s">
        <v>301</v>
      </c>
      <c r="C166" s="10">
        <f aca="true" t="shared" si="22" ref="C166:E167">C167</f>
        <v>3000</v>
      </c>
      <c r="D166" s="10">
        <f t="shared" si="22"/>
        <v>10000</v>
      </c>
      <c r="E166" s="10">
        <f t="shared" si="22"/>
        <v>10000</v>
      </c>
    </row>
    <row r="167" spans="1:5" ht="262.5">
      <c r="A167" s="38" t="s">
        <v>299</v>
      </c>
      <c r="B167" s="35" t="s">
        <v>302</v>
      </c>
      <c r="C167" s="10">
        <f t="shared" si="22"/>
        <v>3000</v>
      </c>
      <c r="D167" s="10">
        <f t="shared" si="22"/>
        <v>10000</v>
      </c>
      <c r="E167" s="10">
        <f t="shared" si="22"/>
        <v>10000</v>
      </c>
    </row>
    <row r="168" spans="1:5" ht="243.75">
      <c r="A168" s="38" t="s">
        <v>300</v>
      </c>
      <c r="B168" s="35" t="s">
        <v>303</v>
      </c>
      <c r="C168" s="10">
        <f>10000-5000-2000</f>
        <v>3000</v>
      </c>
      <c r="D168" s="10">
        <v>10000</v>
      </c>
      <c r="E168" s="10">
        <v>10000</v>
      </c>
    </row>
    <row r="169" spans="1:5" ht="150">
      <c r="A169" s="38" t="s">
        <v>370</v>
      </c>
      <c r="B169" s="35" t="s">
        <v>371</v>
      </c>
      <c r="C169" s="10">
        <f aca="true" t="shared" si="23" ref="C169:E170">C170</f>
        <v>2425</v>
      </c>
      <c r="D169" s="10">
        <f t="shared" si="23"/>
        <v>0</v>
      </c>
      <c r="E169" s="10">
        <f t="shared" si="23"/>
        <v>0</v>
      </c>
    </row>
    <row r="170" spans="1:5" ht="206.25">
      <c r="A170" s="38" t="s">
        <v>372</v>
      </c>
      <c r="B170" s="35" t="s">
        <v>373</v>
      </c>
      <c r="C170" s="10">
        <f t="shared" si="23"/>
        <v>2425</v>
      </c>
      <c r="D170" s="10">
        <f t="shared" si="23"/>
        <v>0</v>
      </c>
      <c r="E170" s="10">
        <f t="shared" si="23"/>
        <v>0</v>
      </c>
    </row>
    <row r="171" spans="1:5" ht="206.25">
      <c r="A171" s="38" t="s">
        <v>374</v>
      </c>
      <c r="B171" s="35" t="s">
        <v>373</v>
      </c>
      <c r="C171" s="10">
        <f>700+125+850+750</f>
        <v>2425</v>
      </c>
      <c r="D171" s="10">
        <v>0</v>
      </c>
      <c r="E171" s="10">
        <v>0</v>
      </c>
    </row>
    <row r="172" spans="1:5" ht="131.25">
      <c r="A172" s="38" t="s">
        <v>304</v>
      </c>
      <c r="B172" s="35" t="s">
        <v>305</v>
      </c>
      <c r="C172" s="10">
        <f aca="true" t="shared" si="24" ref="C172:E173">C173</f>
        <v>19179.21</v>
      </c>
      <c r="D172" s="10">
        <f t="shared" si="24"/>
        <v>5000</v>
      </c>
      <c r="E172" s="10">
        <f t="shared" si="24"/>
        <v>5000</v>
      </c>
    </row>
    <row r="173" spans="1:5" ht="187.5">
      <c r="A173" s="38" t="s">
        <v>136</v>
      </c>
      <c r="B173" s="35" t="s">
        <v>306</v>
      </c>
      <c r="C173" s="10">
        <f t="shared" si="24"/>
        <v>19179.21</v>
      </c>
      <c r="D173" s="10">
        <f t="shared" si="24"/>
        <v>5000</v>
      </c>
      <c r="E173" s="10">
        <f t="shared" si="24"/>
        <v>5000</v>
      </c>
    </row>
    <row r="174" spans="1:5" ht="168.75">
      <c r="A174" s="38" t="s">
        <v>278</v>
      </c>
      <c r="B174" s="35" t="s">
        <v>239</v>
      </c>
      <c r="C174" s="10">
        <f>5000+8000+2200+451.48+3527.73</f>
        <v>19179.21</v>
      </c>
      <c r="D174" s="10">
        <v>5000</v>
      </c>
      <c r="E174" s="10">
        <v>5000</v>
      </c>
    </row>
    <row r="175" spans="1:5" ht="150">
      <c r="A175" s="38" t="s">
        <v>286</v>
      </c>
      <c r="B175" s="35" t="s">
        <v>289</v>
      </c>
      <c r="C175" s="10">
        <f>C176</f>
        <v>65044.74</v>
      </c>
      <c r="D175" s="10">
        <f>D176</f>
        <v>0</v>
      </c>
      <c r="E175" s="10">
        <f>E176</f>
        <v>0</v>
      </c>
    </row>
    <row r="176" spans="1:5" ht="206.25">
      <c r="A176" s="38" t="s">
        <v>287</v>
      </c>
      <c r="B176" s="35" t="s">
        <v>290</v>
      </c>
      <c r="C176" s="10">
        <f>C177+C178</f>
        <v>65044.74</v>
      </c>
      <c r="D176" s="10">
        <f>D177+D178</f>
        <v>0</v>
      </c>
      <c r="E176" s="10">
        <f>E177+E178</f>
        <v>0</v>
      </c>
    </row>
    <row r="177" spans="1:5" ht="206.25">
      <c r="A177" s="38" t="s">
        <v>288</v>
      </c>
      <c r="B177" s="35" t="s">
        <v>290</v>
      </c>
      <c r="C177" s="10">
        <f>14400-6000-2200</f>
        <v>6200</v>
      </c>
      <c r="D177" s="10">
        <v>0</v>
      </c>
      <c r="E177" s="10">
        <v>0</v>
      </c>
    </row>
    <row r="178" spans="1:5" ht="206.25">
      <c r="A178" s="38" t="s">
        <v>375</v>
      </c>
      <c r="B178" s="35" t="s">
        <v>290</v>
      </c>
      <c r="C178" s="10">
        <f>12000+2900+1186.91+13335.46+29422.37</f>
        <v>58844.74</v>
      </c>
      <c r="D178" s="10">
        <v>0</v>
      </c>
      <c r="E178" s="10">
        <v>0</v>
      </c>
    </row>
    <row r="179" spans="1:5" ht="168.75">
      <c r="A179" s="38" t="s">
        <v>139</v>
      </c>
      <c r="B179" s="12" t="s">
        <v>267</v>
      </c>
      <c r="C179" s="10">
        <f>C180</f>
        <v>0</v>
      </c>
      <c r="D179" s="10">
        <f>D180</f>
        <v>77000</v>
      </c>
      <c r="E179" s="10">
        <f>E180</f>
        <v>77000</v>
      </c>
    </row>
    <row r="180" spans="1:5" ht="142.5" customHeight="1">
      <c r="A180" s="38" t="s">
        <v>138</v>
      </c>
      <c r="B180" s="13" t="s">
        <v>181</v>
      </c>
      <c r="C180" s="11">
        <f>SUM(C181:C182)</f>
        <v>0</v>
      </c>
      <c r="D180" s="11">
        <f>SUM(D181:D182)</f>
        <v>77000</v>
      </c>
      <c r="E180" s="11">
        <f>SUM(E181:E182)</f>
        <v>77000</v>
      </c>
    </row>
    <row r="181" spans="1:5" ht="131.25">
      <c r="A181" s="38" t="s">
        <v>134</v>
      </c>
      <c r="B181" s="13" t="s">
        <v>181</v>
      </c>
      <c r="C181" s="11">
        <f>59000-32000-2900-5000-19100</f>
        <v>0</v>
      </c>
      <c r="D181" s="11">
        <v>59000</v>
      </c>
      <c r="E181" s="11">
        <v>59000</v>
      </c>
    </row>
    <row r="182" spans="1:5" ht="131.25">
      <c r="A182" s="38" t="s">
        <v>135</v>
      </c>
      <c r="B182" s="13" t="s">
        <v>181</v>
      </c>
      <c r="C182" s="11">
        <f>18000-8000-5000-5000</f>
        <v>0</v>
      </c>
      <c r="D182" s="11">
        <v>18000</v>
      </c>
      <c r="E182" s="11">
        <v>18000</v>
      </c>
    </row>
    <row r="183" spans="1:5" ht="37.5">
      <c r="A183" s="38" t="s">
        <v>140</v>
      </c>
      <c r="B183" s="13" t="s">
        <v>182</v>
      </c>
      <c r="C183" s="11">
        <f aca="true" t="shared" si="25" ref="C183:E185">C184</f>
        <v>35854.26</v>
      </c>
      <c r="D183" s="11">
        <f t="shared" si="25"/>
        <v>70000</v>
      </c>
      <c r="E183" s="11">
        <f t="shared" si="25"/>
        <v>70000</v>
      </c>
    </row>
    <row r="184" spans="1:5" ht="165.75" customHeight="1">
      <c r="A184" s="38" t="s">
        <v>279</v>
      </c>
      <c r="B184" s="13" t="s">
        <v>280</v>
      </c>
      <c r="C184" s="11">
        <f>C185+C190</f>
        <v>35854.26</v>
      </c>
      <c r="D184" s="11">
        <f>D185+D190</f>
        <v>70000</v>
      </c>
      <c r="E184" s="11">
        <f>E185+E190</f>
        <v>70000</v>
      </c>
    </row>
    <row r="185" spans="1:5" ht="151.5" customHeight="1">
      <c r="A185" s="38" t="s">
        <v>281</v>
      </c>
      <c r="B185" s="13" t="s">
        <v>282</v>
      </c>
      <c r="C185" s="11">
        <f t="shared" si="25"/>
        <v>35194.8</v>
      </c>
      <c r="D185" s="11">
        <f t="shared" si="25"/>
        <v>70000</v>
      </c>
      <c r="E185" s="11">
        <f t="shared" si="25"/>
        <v>70000</v>
      </c>
    </row>
    <row r="186" spans="1:5" ht="297.75" customHeight="1">
      <c r="A186" s="38" t="s">
        <v>283</v>
      </c>
      <c r="B186" s="13" t="s">
        <v>284</v>
      </c>
      <c r="C186" s="11">
        <f>SUM(C187:C189)</f>
        <v>35194.8</v>
      </c>
      <c r="D186" s="11">
        <f>D188+D189</f>
        <v>70000</v>
      </c>
      <c r="E186" s="11">
        <f>E188+E189</f>
        <v>70000</v>
      </c>
    </row>
    <row r="187" spans="1:5" ht="297.75" customHeight="1">
      <c r="A187" s="38" t="s">
        <v>407</v>
      </c>
      <c r="B187" s="13" t="s">
        <v>284</v>
      </c>
      <c r="C187" s="11">
        <f>3223.04+600+44.8</f>
        <v>3867.84</v>
      </c>
      <c r="D187" s="11">
        <v>0</v>
      </c>
      <c r="E187" s="11">
        <v>0</v>
      </c>
    </row>
    <row r="188" spans="1:5" ht="300" customHeight="1">
      <c r="A188" s="38" t="s">
        <v>285</v>
      </c>
      <c r="B188" s="13" t="s">
        <v>284</v>
      </c>
      <c r="C188" s="11">
        <f>70000-20450-3223.04-16000</f>
        <v>30326.96</v>
      </c>
      <c r="D188" s="11">
        <v>70000</v>
      </c>
      <c r="E188" s="11">
        <v>70000</v>
      </c>
    </row>
    <row r="189" spans="1:5" ht="310.5" customHeight="1">
      <c r="A189" s="38" t="s">
        <v>376</v>
      </c>
      <c r="B189" s="13" t="s">
        <v>284</v>
      </c>
      <c r="C189" s="11">
        <v>1000</v>
      </c>
      <c r="D189" s="11">
        <v>0</v>
      </c>
      <c r="E189" s="11">
        <v>0</v>
      </c>
    </row>
    <row r="190" spans="1:5" ht="177" customHeight="1">
      <c r="A190" s="39" t="s">
        <v>428</v>
      </c>
      <c r="B190" s="13" t="s">
        <v>429</v>
      </c>
      <c r="C190" s="11">
        <f>C191</f>
        <v>659.46</v>
      </c>
      <c r="D190" s="11">
        <f>D191</f>
        <v>0</v>
      </c>
      <c r="E190" s="11">
        <f>E191</f>
        <v>0</v>
      </c>
    </row>
    <row r="191" spans="1:5" ht="157.5" customHeight="1">
      <c r="A191" s="39" t="s">
        <v>430</v>
      </c>
      <c r="B191" s="13" t="s">
        <v>429</v>
      </c>
      <c r="C191" s="11">
        <v>659.46</v>
      </c>
      <c r="D191" s="11">
        <v>0</v>
      </c>
      <c r="E191" s="11">
        <v>0</v>
      </c>
    </row>
    <row r="192" spans="1:5" ht="41.25" customHeight="1">
      <c r="A192" s="39" t="s">
        <v>431</v>
      </c>
      <c r="B192" s="13" t="s">
        <v>434</v>
      </c>
      <c r="C192" s="11">
        <f>C193</f>
        <v>93683</v>
      </c>
      <c r="D192" s="11">
        <f>D193</f>
        <v>0</v>
      </c>
      <c r="E192" s="11">
        <f>E193</f>
        <v>0</v>
      </c>
    </row>
    <row r="193" spans="1:5" ht="217.5" customHeight="1">
      <c r="A193" s="39" t="s">
        <v>432</v>
      </c>
      <c r="B193" s="13" t="s">
        <v>433</v>
      </c>
      <c r="C193" s="11">
        <f>C194+C195</f>
        <v>93683</v>
      </c>
      <c r="D193" s="11">
        <f>D194+D195</f>
        <v>0</v>
      </c>
      <c r="E193" s="11">
        <f>E194+E195</f>
        <v>0</v>
      </c>
    </row>
    <row r="194" spans="1:5" ht="231.75" customHeight="1">
      <c r="A194" s="40" t="s">
        <v>446</v>
      </c>
      <c r="B194" s="13" t="s">
        <v>433</v>
      </c>
      <c r="C194" s="11">
        <v>13683</v>
      </c>
      <c r="D194" s="11">
        <v>0</v>
      </c>
      <c r="E194" s="11">
        <v>0</v>
      </c>
    </row>
    <row r="195" spans="1:5" ht="217.5" customHeight="1">
      <c r="A195" s="39" t="s">
        <v>435</v>
      </c>
      <c r="B195" s="13" t="s">
        <v>433</v>
      </c>
      <c r="C195" s="11">
        <v>80000</v>
      </c>
      <c r="D195" s="11">
        <v>0</v>
      </c>
      <c r="E195" s="11">
        <v>0</v>
      </c>
    </row>
    <row r="196" spans="1:5" ht="37.5">
      <c r="A196" s="14" t="s">
        <v>34</v>
      </c>
      <c r="B196" s="15" t="s">
        <v>131</v>
      </c>
      <c r="C196" s="16">
        <f>C197+C264+C268+C276+C280</f>
        <v>309660218.53999996</v>
      </c>
      <c r="D196" s="16">
        <f>D197+D264+D268+D276+D280</f>
        <v>168921542.17</v>
      </c>
      <c r="E196" s="16">
        <f>E197+E264+E268+E276+E280</f>
        <v>163098134.10999998</v>
      </c>
    </row>
    <row r="197" spans="1:5" ht="93.75">
      <c r="A197" s="14" t="s">
        <v>47</v>
      </c>
      <c r="B197" s="15" t="s">
        <v>183</v>
      </c>
      <c r="C197" s="16">
        <f>C198+C205+C232+C250</f>
        <v>309778788.15</v>
      </c>
      <c r="D197" s="16">
        <f>D198+D205+D232+D250</f>
        <v>168921542.17</v>
      </c>
      <c r="E197" s="16">
        <f>E198+E205+E232+E250</f>
        <v>163098134.10999998</v>
      </c>
    </row>
    <row r="198" spans="1:5" ht="37.5">
      <c r="A198" s="14" t="s">
        <v>95</v>
      </c>
      <c r="B198" s="17" t="s">
        <v>184</v>
      </c>
      <c r="C198" s="16">
        <f>C199+C202</f>
        <v>126618020</v>
      </c>
      <c r="D198" s="16">
        <f>D199+D202</f>
        <v>92115000</v>
      </c>
      <c r="E198" s="16">
        <f>E199+E202</f>
        <v>89553500</v>
      </c>
    </row>
    <row r="199" spans="1:5" ht="37.5">
      <c r="A199" s="38" t="s">
        <v>96</v>
      </c>
      <c r="B199" s="12" t="s">
        <v>185</v>
      </c>
      <c r="C199" s="18">
        <f aca="true" t="shared" si="26" ref="C199:E200">C200</f>
        <v>108208100</v>
      </c>
      <c r="D199" s="18">
        <f t="shared" si="26"/>
        <v>92115000</v>
      </c>
      <c r="E199" s="18">
        <f t="shared" si="26"/>
        <v>89553500</v>
      </c>
    </row>
    <row r="200" spans="1:5" ht="93.75">
      <c r="A200" s="38" t="s">
        <v>97</v>
      </c>
      <c r="B200" s="12" t="s">
        <v>233</v>
      </c>
      <c r="C200" s="18">
        <f t="shared" si="26"/>
        <v>108208100</v>
      </c>
      <c r="D200" s="18">
        <f t="shared" si="26"/>
        <v>92115000</v>
      </c>
      <c r="E200" s="18">
        <f t="shared" si="26"/>
        <v>89553500</v>
      </c>
    </row>
    <row r="201" spans="1:5" ht="93.75">
      <c r="A201" s="38" t="s">
        <v>98</v>
      </c>
      <c r="B201" s="12" t="s">
        <v>233</v>
      </c>
      <c r="C201" s="18">
        <f>102491500+5716600</f>
        <v>108208100</v>
      </c>
      <c r="D201" s="19">
        <v>92115000</v>
      </c>
      <c r="E201" s="19">
        <f>92115000-2561500</f>
        <v>89553500</v>
      </c>
    </row>
    <row r="202" spans="1:5" ht="56.25">
      <c r="A202" s="38" t="s">
        <v>99</v>
      </c>
      <c r="B202" s="12" t="s">
        <v>186</v>
      </c>
      <c r="C202" s="18">
        <f aca="true" t="shared" si="27" ref="C202:E203">C203</f>
        <v>18409920</v>
      </c>
      <c r="D202" s="18">
        <f t="shared" si="27"/>
        <v>0</v>
      </c>
      <c r="E202" s="18">
        <f t="shared" si="27"/>
        <v>0</v>
      </c>
    </row>
    <row r="203" spans="1:5" ht="75">
      <c r="A203" s="38" t="s">
        <v>100</v>
      </c>
      <c r="B203" s="12" t="s">
        <v>187</v>
      </c>
      <c r="C203" s="18">
        <f t="shared" si="27"/>
        <v>18409920</v>
      </c>
      <c r="D203" s="18">
        <f t="shared" si="27"/>
        <v>0</v>
      </c>
      <c r="E203" s="18">
        <f t="shared" si="27"/>
        <v>0</v>
      </c>
    </row>
    <row r="204" spans="1:5" ht="75">
      <c r="A204" s="38" t="s">
        <v>101</v>
      </c>
      <c r="B204" s="12" t="s">
        <v>187</v>
      </c>
      <c r="C204" s="18">
        <f>14423180+3986740</f>
        <v>18409920</v>
      </c>
      <c r="D204" s="19">
        <v>0</v>
      </c>
      <c r="E204" s="19">
        <v>0</v>
      </c>
    </row>
    <row r="205" spans="1:5" s="6" customFormat="1" ht="56.25">
      <c r="A205" s="14" t="s">
        <v>102</v>
      </c>
      <c r="B205" s="15" t="s">
        <v>188</v>
      </c>
      <c r="C205" s="16">
        <f>C209+C227+C206+C221+C212+C215+C218+C224</f>
        <v>41187210.43</v>
      </c>
      <c r="D205" s="16">
        <f>D209+D227+D206+D221+D212+D215+D218+D224</f>
        <v>20960802.06</v>
      </c>
      <c r="E205" s="16">
        <f>E209+E227+E206+E221+E212+E215+E218+E224</f>
        <v>17718239.7</v>
      </c>
    </row>
    <row r="206" spans="1:6" s="6" customFormat="1" ht="93.75">
      <c r="A206" s="38" t="s">
        <v>261</v>
      </c>
      <c r="B206" s="20" t="s">
        <v>262</v>
      </c>
      <c r="C206" s="18">
        <f aca="true" t="shared" si="28" ref="C206:E207">C207</f>
        <v>9074320.33</v>
      </c>
      <c r="D206" s="18">
        <f t="shared" si="28"/>
        <v>0</v>
      </c>
      <c r="E206" s="18">
        <f t="shared" si="28"/>
        <v>0</v>
      </c>
      <c r="F206" s="36"/>
    </row>
    <row r="207" spans="1:6" s="6" customFormat="1" ht="93.75">
      <c r="A207" s="38" t="s">
        <v>263</v>
      </c>
      <c r="B207" s="20" t="s">
        <v>264</v>
      </c>
      <c r="C207" s="18">
        <f t="shared" si="28"/>
        <v>9074320.33</v>
      </c>
      <c r="D207" s="18">
        <f t="shared" si="28"/>
        <v>0</v>
      </c>
      <c r="E207" s="18">
        <f t="shared" si="28"/>
        <v>0</v>
      </c>
      <c r="F207" s="37"/>
    </row>
    <row r="208" spans="1:5" s="6" customFormat="1" ht="93.75">
      <c r="A208" s="38" t="s">
        <v>265</v>
      </c>
      <c r="B208" s="20" t="s">
        <v>264</v>
      </c>
      <c r="C208" s="18">
        <f>5074320.33+4000000</f>
        <v>9074320.33</v>
      </c>
      <c r="D208" s="18">
        <v>0</v>
      </c>
      <c r="E208" s="18">
        <v>0</v>
      </c>
    </row>
    <row r="209" spans="1:5" s="6" customFormat="1" ht="187.5">
      <c r="A209" s="38" t="s">
        <v>236</v>
      </c>
      <c r="B209" s="20" t="s">
        <v>237</v>
      </c>
      <c r="C209" s="18">
        <f aca="true" t="shared" si="29" ref="C209:E210">C210</f>
        <v>4535579.24</v>
      </c>
      <c r="D209" s="18">
        <f t="shared" si="29"/>
        <v>4812326.45</v>
      </c>
      <c r="E209" s="18">
        <f t="shared" si="29"/>
        <v>0</v>
      </c>
    </row>
    <row r="210" spans="1:5" s="6" customFormat="1" ht="206.25">
      <c r="A210" s="38" t="s">
        <v>234</v>
      </c>
      <c r="B210" s="20" t="s">
        <v>238</v>
      </c>
      <c r="C210" s="18">
        <f t="shared" si="29"/>
        <v>4535579.24</v>
      </c>
      <c r="D210" s="18">
        <f t="shared" si="29"/>
        <v>4812326.45</v>
      </c>
      <c r="E210" s="18">
        <f t="shared" si="29"/>
        <v>0</v>
      </c>
    </row>
    <row r="211" spans="1:5" s="6" customFormat="1" ht="206.25">
      <c r="A211" s="38" t="s">
        <v>235</v>
      </c>
      <c r="B211" s="20" t="s">
        <v>238</v>
      </c>
      <c r="C211" s="18">
        <v>4535579.24</v>
      </c>
      <c r="D211" s="18">
        <v>4812326.45</v>
      </c>
      <c r="E211" s="18">
        <v>0</v>
      </c>
    </row>
    <row r="212" spans="1:5" s="6" customFormat="1" ht="112.5">
      <c r="A212" s="38" t="s">
        <v>377</v>
      </c>
      <c r="B212" s="20" t="s">
        <v>378</v>
      </c>
      <c r="C212" s="18">
        <f aca="true" t="shared" si="30" ref="C212:E213">C213</f>
        <v>2630898.99</v>
      </c>
      <c r="D212" s="18">
        <f t="shared" si="30"/>
        <v>2349818.19</v>
      </c>
      <c r="E212" s="18">
        <f t="shared" si="30"/>
        <v>0</v>
      </c>
    </row>
    <row r="213" spans="1:5" s="6" customFormat="1" ht="131.25">
      <c r="A213" s="38" t="s">
        <v>379</v>
      </c>
      <c r="B213" s="20" t="s">
        <v>380</v>
      </c>
      <c r="C213" s="18">
        <f t="shared" si="30"/>
        <v>2630898.99</v>
      </c>
      <c r="D213" s="18">
        <f t="shared" si="30"/>
        <v>2349818.19</v>
      </c>
      <c r="E213" s="18">
        <f t="shared" si="30"/>
        <v>0</v>
      </c>
    </row>
    <row r="214" spans="1:5" s="6" customFormat="1" ht="131.25">
      <c r="A214" s="38" t="s">
        <v>381</v>
      </c>
      <c r="B214" s="20" t="s">
        <v>380</v>
      </c>
      <c r="C214" s="18">
        <v>2630898.99</v>
      </c>
      <c r="D214" s="18">
        <v>2349818.19</v>
      </c>
      <c r="E214" s="18">
        <v>0</v>
      </c>
    </row>
    <row r="215" spans="1:5" s="6" customFormat="1" ht="153.75" customHeight="1">
      <c r="A215" s="38" t="s">
        <v>382</v>
      </c>
      <c r="B215" s="20" t="s">
        <v>384</v>
      </c>
      <c r="C215" s="18">
        <f aca="true" t="shared" si="31" ref="C215:E216">C216</f>
        <v>3137470.72</v>
      </c>
      <c r="D215" s="18">
        <f t="shared" si="31"/>
        <v>1568745.8</v>
      </c>
      <c r="E215" s="18">
        <f t="shared" si="31"/>
        <v>1568505.9</v>
      </c>
    </row>
    <row r="216" spans="1:5" s="6" customFormat="1" ht="168.75">
      <c r="A216" s="38" t="s">
        <v>383</v>
      </c>
      <c r="B216" s="20" t="s">
        <v>385</v>
      </c>
      <c r="C216" s="18">
        <f t="shared" si="31"/>
        <v>3137470.72</v>
      </c>
      <c r="D216" s="18">
        <f t="shared" si="31"/>
        <v>1568745.8</v>
      </c>
      <c r="E216" s="18">
        <f t="shared" si="31"/>
        <v>1568505.9</v>
      </c>
    </row>
    <row r="217" spans="1:5" s="6" customFormat="1" ht="168.75">
      <c r="A217" s="38" t="s">
        <v>386</v>
      </c>
      <c r="B217" s="20" t="s">
        <v>385</v>
      </c>
      <c r="C217" s="18">
        <v>3137470.72</v>
      </c>
      <c r="D217" s="18">
        <v>1568745.8</v>
      </c>
      <c r="E217" s="18">
        <v>1568505.9</v>
      </c>
    </row>
    <row r="218" spans="1:5" s="6" customFormat="1" ht="93.75">
      <c r="A218" s="38" t="s">
        <v>387</v>
      </c>
      <c r="B218" s="20" t="s">
        <v>403</v>
      </c>
      <c r="C218" s="18">
        <f aca="true" t="shared" si="32" ref="C218:E219">C219</f>
        <v>1899552.39</v>
      </c>
      <c r="D218" s="18">
        <f t="shared" si="32"/>
        <v>3168814.82</v>
      </c>
      <c r="E218" s="18">
        <f t="shared" si="32"/>
        <v>7818381</v>
      </c>
    </row>
    <row r="219" spans="1:5" s="6" customFormat="1" ht="112.5">
      <c r="A219" s="38" t="s">
        <v>388</v>
      </c>
      <c r="B219" s="20" t="s">
        <v>390</v>
      </c>
      <c r="C219" s="18">
        <f t="shared" si="32"/>
        <v>1899552.39</v>
      </c>
      <c r="D219" s="18">
        <f t="shared" si="32"/>
        <v>3168814.82</v>
      </c>
      <c r="E219" s="18">
        <f t="shared" si="32"/>
        <v>7818381</v>
      </c>
    </row>
    <row r="220" spans="1:5" s="6" customFormat="1" ht="112.5">
      <c r="A220" s="38" t="s">
        <v>389</v>
      </c>
      <c r="B220" s="20" t="s">
        <v>390</v>
      </c>
      <c r="C220" s="18">
        <v>1899552.39</v>
      </c>
      <c r="D220" s="18">
        <v>3168814.82</v>
      </c>
      <c r="E220" s="18">
        <v>7818381</v>
      </c>
    </row>
    <row r="221" spans="1:5" s="6" customFormat="1" ht="117.75" customHeight="1">
      <c r="A221" s="38" t="s">
        <v>309</v>
      </c>
      <c r="B221" s="20" t="s">
        <v>310</v>
      </c>
      <c r="C221" s="18">
        <f aca="true" t="shared" si="33" ref="C221:E222">C222</f>
        <v>7801569.6</v>
      </c>
      <c r="D221" s="18">
        <f t="shared" si="33"/>
        <v>8035004.4</v>
      </c>
      <c r="E221" s="18">
        <f t="shared" si="33"/>
        <v>7797742.8</v>
      </c>
    </row>
    <row r="222" spans="1:5" s="6" customFormat="1" ht="147.75" customHeight="1">
      <c r="A222" s="38" t="s">
        <v>307</v>
      </c>
      <c r="B222" s="20" t="s">
        <v>311</v>
      </c>
      <c r="C222" s="18">
        <f t="shared" si="33"/>
        <v>7801569.6</v>
      </c>
      <c r="D222" s="18">
        <f t="shared" si="33"/>
        <v>8035004.4</v>
      </c>
      <c r="E222" s="18">
        <f t="shared" si="33"/>
        <v>7797742.8</v>
      </c>
    </row>
    <row r="223" spans="1:5" s="6" customFormat="1" ht="144" customHeight="1">
      <c r="A223" s="38" t="s">
        <v>308</v>
      </c>
      <c r="B223" s="20" t="s">
        <v>311</v>
      </c>
      <c r="C223" s="18">
        <v>7801569.6</v>
      </c>
      <c r="D223" s="18">
        <v>8035004.4</v>
      </c>
      <c r="E223" s="18">
        <v>7797742.8</v>
      </c>
    </row>
    <row r="224" spans="1:5" s="6" customFormat="1" ht="105" customHeight="1">
      <c r="A224" s="38" t="s">
        <v>400</v>
      </c>
      <c r="B224" s="20" t="s">
        <v>402</v>
      </c>
      <c r="C224" s="18">
        <f aca="true" t="shared" si="34" ref="C224:E225">C225</f>
        <v>0</v>
      </c>
      <c r="D224" s="18">
        <f t="shared" si="34"/>
        <v>492482.4</v>
      </c>
      <c r="E224" s="18">
        <f t="shared" si="34"/>
        <v>0</v>
      </c>
    </row>
    <row r="225" spans="1:5" s="6" customFormat="1" ht="134.25" customHeight="1">
      <c r="A225" s="38" t="s">
        <v>399</v>
      </c>
      <c r="B225" s="20" t="s">
        <v>401</v>
      </c>
      <c r="C225" s="18">
        <f t="shared" si="34"/>
        <v>0</v>
      </c>
      <c r="D225" s="18">
        <f t="shared" si="34"/>
        <v>492482.4</v>
      </c>
      <c r="E225" s="18">
        <f t="shared" si="34"/>
        <v>0</v>
      </c>
    </row>
    <row r="226" spans="1:5" s="6" customFormat="1" ht="120.75" customHeight="1">
      <c r="A226" s="38" t="s">
        <v>398</v>
      </c>
      <c r="B226" s="20" t="s">
        <v>401</v>
      </c>
      <c r="C226" s="18">
        <v>0</v>
      </c>
      <c r="D226" s="18">
        <v>492482.4</v>
      </c>
      <c r="E226" s="18">
        <v>0</v>
      </c>
    </row>
    <row r="227" spans="1:5" ht="18.75">
      <c r="A227" s="38" t="s">
        <v>103</v>
      </c>
      <c r="B227" s="20" t="s">
        <v>190</v>
      </c>
      <c r="C227" s="18">
        <f>C228</f>
        <v>12107819.16</v>
      </c>
      <c r="D227" s="18">
        <f>D228</f>
        <v>533610</v>
      </c>
      <c r="E227" s="18">
        <f>E228</f>
        <v>533610</v>
      </c>
    </row>
    <row r="228" spans="1:5" ht="37.5">
      <c r="A228" s="38" t="s">
        <v>104</v>
      </c>
      <c r="B228" s="20" t="s">
        <v>189</v>
      </c>
      <c r="C228" s="18">
        <f>SUM(C229:C231)</f>
        <v>12107819.16</v>
      </c>
      <c r="D228" s="18">
        <f>SUM(D229:D231)</f>
        <v>533610</v>
      </c>
      <c r="E228" s="18">
        <f>SUM(E229:E231)</f>
        <v>533610</v>
      </c>
    </row>
    <row r="229" spans="1:5" ht="37.5">
      <c r="A229" s="38" t="s">
        <v>105</v>
      </c>
      <c r="B229" s="20" t="s">
        <v>189</v>
      </c>
      <c r="C229" s="18">
        <f>7257525+431000+233640+1000000</f>
        <v>8922165</v>
      </c>
      <c r="D229" s="18">
        <v>0</v>
      </c>
      <c r="E229" s="18">
        <v>0</v>
      </c>
    </row>
    <row r="230" spans="1:5" ht="37.5">
      <c r="A230" s="38" t="s">
        <v>106</v>
      </c>
      <c r="B230" s="20" t="s">
        <v>189</v>
      </c>
      <c r="C230" s="18">
        <f>1834303.16+1000000+1000000-1000000</f>
        <v>2834303.16</v>
      </c>
      <c r="D230" s="18">
        <v>533610</v>
      </c>
      <c r="E230" s="18">
        <v>533610</v>
      </c>
    </row>
    <row r="231" spans="1:5" ht="37.5">
      <c r="A231" s="38" t="s">
        <v>312</v>
      </c>
      <c r="B231" s="20" t="s">
        <v>189</v>
      </c>
      <c r="C231" s="18">
        <f>50985+300366</f>
        <v>351351</v>
      </c>
      <c r="D231" s="18">
        <v>0</v>
      </c>
      <c r="E231" s="18">
        <v>0</v>
      </c>
    </row>
    <row r="232" spans="1:5" ht="37.5">
      <c r="A232" s="14" t="s">
        <v>107</v>
      </c>
      <c r="B232" s="17" t="s">
        <v>191</v>
      </c>
      <c r="C232" s="16">
        <f>C233+C247+C241+C238+C244</f>
        <v>123575022.44000001</v>
      </c>
      <c r="D232" s="16">
        <f>D233+D247+D241+D238+D244</f>
        <v>47066043.83</v>
      </c>
      <c r="E232" s="16">
        <f>E233+E247+E241+E238+E244</f>
        <v>47046698.129999995</v>
      </c>
    </row>
    <row r="233" spans="1:5" ht="56.25">
      <c r="A233" s="38" t="s">
        <v>108</v>
      </c>
      <c r="B233" s="12" t="s">
        <v>192</v>
      </c>
      <c r="C233" s="18">
        <f>C234</f>
        <v>1935123.18</v>
      </c>
      <c r="D233" s="18">
        <f>D234</f>
        <v>1912377.91</v>
      </c>
      <c r="E233" s="18">
        <f>E234</f>
        <v>1912377.91</v>
      </c>
    </row>
    <row r="234" spans="1:5" ht="75">
      <c r="A234" s="38" t="s">
        <v>109</v>
      </c>
      <c r="B234" s="12" t="s">
        <v>193</v>
      </c>
      <c r="C234" s="18">
        <f>SUM(C235:C237)</f>
        <v>1935123.18</v>
      </c>
      <c r="D234" s="18">
        <f>SUM(D235:D237)</f>
        <v>1912377.91</v>
      </c>
      <c r="E234" s="18">
        <f>SUM(E235:E237)</f>
        <v>1912377.91</v>
      </c>
    </row>
    <row r="235" spans="1:5" ht="75">
      <c r="A235" s="38" t="s">
        <v>110</v>
      </c>
      <c r="B235" s="12" t="s">
        <v>193</v>
      </c>
      <c r="C235" s="18">
        <f>458905.82+3713.13</f>
        <v>462618.95</v>
      </c>
      <c r="D235" s="18">
        <v>419559.5</v>
      </c>
      <c r="E235" s="18">
        <v>419559.5</v>
      </c>
    </row>
    <row r="236" spans="1:5" ht="75">
      <c r="A236" s="38" t="s">
        <v>111</v>
      </c>
      <c r="B236" s="12" t="s">
        <v>193</v>
      </c>
      <c r="C236" s="18">
        <v>1305278.16</v>
      </c>
      <c r="D236" s="18">
        <v>1468792.16</v>
      </c>
      <c r="E236" s="18">
        <v>1468792.16</v>
      </c>
    </row>
    <row r="237" spans="1:5" ht="75">
      <c r="A237" s="38" t="s">
        <v>112</v>
      </c>
      <c r="B237" s="12" t="s">
        <v>193</v>
      </c>
      <c r="C237" s="18">
        <v>167226.07</v>
      </c>
      <c r="D237" s="18">
        <v>24026.25</v>
      </c>
      <c r="E237" s="18">
        <v>24026.25</v>
      </c>
    </row>
    <row r="238" spans="1:5" ht="131.25">
      <c r="A238" s="38" t="s">
        <v>113</v>
      </c>
      <c r="B238" s="12" t="s">
        <v>194</v>
      </c>
      <c r="C238" s="18">
        <f aca="true" t="shared" si="35" ref="C238:E239">C239</f>
        <v>2272812.2600000002</v>
      </c>
      <c r="D238" s="18">
        <f t="shared" si="35"/>
        <v>3680265.6</v>
      </c>
      <c r="E238" s="18">
        <f t="shared" si="35"/>
        <v>3680265.6</v>
      </c>
    </row>
    <row r="239" spans="1:5" ht="131.25">
      <c r="A239" s="38" t="s">
        <v>114</v>
      </c>
      <c r="B239" s="12" t="s">
        <v>195</v>
      </c>
      <c r="C239" s="18">
        <f t="shared" si="35"/>
        <v>2272812.2600000002</v>
      </c>
      <c r="D239" s="18">
        <f t="shared" si="35"/>
        <v>3680265.6</v>
      </c>
      <c r="E239" s="18">
        <f t="shared" si="35"/>
        <v>3680265.6</v>
      </c>
    </row>
    <row r="240" spans="1:5" ht="131.25">
      <c r="A240" s="38" t="s">
        <v>115</v>
      </c>
      <c r="B240" s="12" t="s">
        <v>195</v>
      </c>
      <c r="C240" s="18">
        <f>2760199.2-920066.4+432679.46</f>
        <v>2272812.2600000002</v>
      </c>
      <c r="D240" s="18">
        <f>2760199.2+920066.4</f>
        <v>3680265.6</v>
      </c>
      <c r="E240" s="18">
        <f>920066.4+2760199.2</f>
        <v>3680265.6</v>
      </c>
    </row>
    <row r="241" spans="1:5" ht="112.5">
      <c r="A241" s="38" t="s">
        <v>116</v>
      </c>
      <c r="B241" s="12" t="s">
        <v>92</v>
      </c>
      <c r="C241" s="18">
        <f aca="true" t="shared" si="36" ref="C241:E242">C242</f>
        <v>0</v>
      </c>
      <c r="D241" s="18">
        <f t="shared" si="36"/>
        <v>24425.32</v>
      </c>
      <c r="E241" s="18">
        <f t="shared" si="36"/>
        <v>5079.62</v>
      </c>
    </row>
    <row r="242" spans="1:5" ht="131.25">
      <c r="A242" s="38" t="s">
        <v>117</v>
      </c>
      <c r="B242" s="12" t="s">
        <v>196</v>
      </c>
      <c r="C242" s="18">
        <f t="shared" si="36"/>
        <v>0</v>
      </c>
      <c r="D242" s="18">
        <f t="shared" si="36"/>
        <v>24425.32</v>
      </c>
      <c r="E242" s="18">
        <f t="shared" si="36"/>
        <v>5079.62</v>
      </c>
    </row>
    <row r="243" spans="1:5" ht="131.25">
      <c r="A243" s="38" t="s">
        <v>118</v>
      </c>
      <c r="B243" s="12" t="s">
        <v>196</v>
      </c>
      <c r="C243" s="18">
        <f>20173.35-7911.99-12261.36</f>
        <v>0</v>
      </c>
      <c r="D243" s="18">
        <f>48697.49-24272.17</f>
        <v>24425.32</v>
      </c>
      <c r="E243" s="18">
        <v>5079.62</v>
      </c>
    </row>
    <row r="244" spans="1:5" ht="75">
      <c r="A244" s="38" t="s">
        <v>313</v>
      </c>
      <c r="B244" s="12" t="s">
        <v>314</v>
      </c>
      <c r="C244" s="18">
        <f aca="true" t="shared" si="37" ref="C244:E245">C245</f>
        <v>310167</v>
      </c>
      <c r="D244" s="18">
        <f t="shared" si="37"/>
        <v>0</v>
      </c>
      <c r="E244" s="18">
        <f t="shared" si="37"/>
        <v>0</v>
      </c>
    </row>
    <row r="245" spans="1:5" ht="75">
      <c r="A245" s="38" t="s">
        <v>315</v>
      </c>
      <c r="B245" s="12" t="s">
        <v>316</v>
      </c>
      <c r="C245" s="18">
        <f t="shared" si="37"/>
        <v>310167</v>
      </c>
      <c r="D245" s="18">
        <f t="shared" si="37"/>
        <v>0</v>
      </c>
      <c r="E245" s="18">
        <f t="shared" si="37"/>
        <v>0</v>
      </c>
    </row>
    <row r="246" spans="1:5" ht="75">
      <c r="A246" s="38" t="s">
        <v>317</v>
      </c>
      <c r="B246" s="12" t="s">
        <v>316</v>
      </c>
      <c r="C246" s="18">
        <v>310167</v>
      </c>
      <c r="D246" s="18">
        <v>0</v>
      </c>
      <c r="E246" s="18">
        <v>0</v>
      </c>
    </row>
    <row r="247" spans="1:5" ht="18.75">
      <c r="A247" s="38" t="s">
        <v>119</v>
      </c>
      <c r="B247" s="12" t="s">
        <v>73</v>
      </c>
      <c r="C247" s="18">
        <f aca="true" t="shared" si="38" ref="C247:E248">C248</f>
        <v>119056920</v>
      </c>
      <c r="D247" s="18">
        <f t="shared" si="38"/>
        <v>41448975</v>
      </c>
      <c r="E247" s="18">
        <f t="shared" si="38"/>
        <v>41448975</v>
      </c>
    </row>
    <row r="248" spans="1:5" ht="37.5">
      <c r="A248" s="38" t="s">
        <v>120</v>
      </c>
      <c r="B248" s="12" t="s">
        <v>197</v>
      </c>
      <c r="C248" s="18">
        <f t="shared" si="38"/>
        <v>119056920</v>
      </c>
      <c r="D248" s="18">
        <f t="shared" si="38"/>
        <v>41448975</v>
      </c>
      <c r="E248" s="18">
        <f t="shared" si="38"/>
        <v>41448975</v>
      </c>
    </row>
    <row r="249" spans="1:5" ht="37.5">
      <c r="A249" s="38" t="s">
        <v>121</v>
      </c>
      <c r="B249" s="12" t="s">
        <v>197</v>
      </c>
      <c r="C249" s="18">
        <v>119056920</v>
      </c>
      <c r="D249" s="18">
        <v>41448975</v>
      </c>
      <c r="E249" s="18">
        <v>41448975</v>
      </c>
    </row>
    <row r="250" spans="1:5" ht="18.75">
      <c r="A250" s="21" t="s">
        <v>198</v>
      </c>
      <c r="B250" s="17" t="s">
        <v>199</v>
      </c>
      <c r="C250" s="16">
        <f>C254+C257+C272</f>
        <v>18398535.28</v>
      </c>
      <c r="D250" s="16">
        <f>D254+D257+D272</f>
        <v>8779696.28</v>
      </c>
      <c r="E250" s="16">
        <f>E254+E257+E272</f>
        <v>8779696.28</v>
      </c>
    </row>
    <row r="251" spans="1:5" ht="131.25" hidden="1">
      <c r="A251" s="22" t="s">
        <v>200</v>
      </c>
      <c r="B251" s="12" t="s">
        <v>201</v>
      </c>
      <c r="C251" s="18">
        <f aca="true" t="shared" si="39" ref="C251:E252">C252</f>
        <v>0</v>
      </c>
      <c r="D251" s="18">
        <f t="shared" si="39"/>
        <v>0</v>
      </c>
      <c r="E251" s="18">
        <f t="shared" si="39"/>
        <v>0</v>
      </c>
    </row>
    <row r="252" spans="1:5" ht="131.25" hidden="1">
      <c r="A252" s="22" t="s">
        <v>202</v>
      </c>
      <c r="B252" s="12" t="s">
        <v>203</v>
      </c>
      <c r="C252" s="18">
        <f t="shared" si="39"/>
        <v>0</v>
      </c>
      <c r="D252" s="18">
        <f t="shared" si="39"/>
        <v>0</v>
      </c>
      <c r="E252" s="18">
        <f t="shared" si="39"/>
        <v>0</v>
      </c>
    </row>
    <row r="253" spans="1:5" ht="131.25" hidden="1">
      <c r="A253" s="22" t="s">
        <v>204</v>
      </c>
      <c r="B253" s="12" t="s">
        <v>203</v>
      </c>
      <c r="C253" s="18">
        <v>0</v>
      </c>
      <c r="D253" s="18">
        <v>0</v>
      </c>
      <c r="E253" s="18">
        <v>0</v>
      </c>
    </row>
    <row r="254" spans="1:5" ht="150">
      <c r="A254" s="22" t="s">
        <v>200</v>
      </c>
      <c r="B254" s="12" t="s">
        <v>331</v>
      </c>
      <c r="C254" s="18">
        <f aca="true" t="shared" si="40" ref="C254:E255">C255</f>
        <v>384425.28</v>
      </c>
      <c r="D254" s="18">
        <f t="shared" si="40"/>
        <v>342736.28</v>
      </c>
      <c r="E254" s="18">
        <f t="shared" si="40"/>
        <v>342736.28</v>
      </c>
    </row>
    <row r="255" spans="1:5" ht="150">
      <c r="A255" s="22" t="s">
        <v>202</v>
      </c>
      <c r="B255" s="12" t="s">
        <v>332</v>
      </c>
      <c r="C255" s="18">
        <f t="shared" si="40"/>
        <v>384425.28</v>
      </c>
      <c r="D255" s="18">
        <f t="shared" si="40"/>
        <v>342736.28</v>
      </c>
      <c r="E255" s="18">
        <f t="shared" si="40"/>
        <v>342736.28</v>
      </c>
    </row>
    <row r="256" spans="1:5" ht="131.25">
      <c r="A256" s="22" t="s">
        <v>204</v>
      </c>
      <c r="B256" s="12" t="s">
        <v>333</v>
      </c>
      <c r="C256" s="18">
        <f>380825.28+3600</f>
        <v>384425.28</v>
      </c>
      <c r="D256" s="18">
        <f>380825.28-38089</f>
        <v>342736.28</v>
      </c>
      <c r="E256" s="18">
        <f>380825.28-38089</f>
        <v>342736.28</v>
      </c>
    </row>
    <row r="257" spans="1:5" ht="139.5" customHeight="1">
      <c r="A257" s="22" t="s">
        <v>241</v>
      </c>
      <c r="B257" s="12" t="s">
        <v>320</v>
      </c>
      <c r="C257" s="18">
        <f aca="true" t="shared" si="41" ref="C257:E258">C258</f>
        <v>8436960</v>
      </c>
      <c r="D257" s="18">
        <f t="shared" si="41"/>
        <v>8436960</v>
      </c>
      <c r="E257" s="18">
        <f t="shared" si="41"/>
        <v>8436960</v>
      </c>
    </row>
    <row r="258" spans="1:5" ht="156" customHeight="1">
      <c r="A258" s="22" t="s">
        <v>242</v>
      </c>
      <c r="B258" s="12" t="s">
        <v>321</v>
      </c>
      <c r="C258" s="18">
        <f t="shared" si="41"/>
        <v>8436960</v>
      </c>
      <c r="D258" s="18">
        <f t="shared" si="41"/>
        <v>8436960</v>
      </c>
      <c r="E258" s="18">
        <f t="shared" si="41"/>
        <v>8436960</v>
      </c>
    </row>
    <row r="259" spans="1:5" ht="154.5" customHeight="1">
      <c r="A259" s="22" t="s">
        <v>243</v>
      </c>
      <c r="B259" s="12" t="s">
        <v>322</v>
      </c>
      <c r="C259" s="18">
        <v>8436960</v>
      </c>
      <c r="D259" s="18">
        <v>8436960</v>
      </c>
      <c r="E259" s="18">
        <v>8436960</v>
      </c>
    </row>
    <row r="260" spans="1:5" ht="93.75" hidden="1">
      <c r="A260" s="22" t="s">
        <v>226</v>
      </c>
      <c r="B260" s="12" t="s">
        <v>227</v>
      </c>
      <c r="C260" s="18">
        <f aca="true" t="shared" si="42" ref="C260:E262">C261</f>
        <v>0</v>
      </c>
      <c r="D260" s="18">
        <f t="shared" si="42"/>
        <v>0</v>
      </c>
      <c r="E260" s="18">
        <f t="shared" si="42"/>
        <v>0</v>
      </c>
    </row>
    <row r="261" spans="1:5" ht="102.75" customHeight="1" hidden="1">
      <c r="A261" s="22" t="s">
        <v>228</v>
      </c>
      <c r="B261" s="12" t="s">
        <v>229</v>
      </c>
      <c r="C261" s="18">
        <f t="shared" si="42"/>
        <v>0</v>
      </c>
      <c r="D261" s="18">
        <f t="shared" si="42"/>
        <v>0</v>
      </c>
      <c r="E261" s="18">
        <f t="shared" si="42"/>
        <v>0</v>
      </c>
    </row>
    <row r="262" spans="1:5" ht="75" hidden="1">
      <c r="A262" s="22" t="s">
        <v>230</v>
      </c>
      <c r="B262" s="12" t="s">
        <v>231</v>
      </c>
      <c r="C262" s="18">
        <f t="shared" si="42"/>
        <v>0</v>
      </c>
      <c r="D262" s="18">
        <f t="shared" si="42"/>
        <v>0</v>
      </c>
      <c r="E262" s="18">
        <f t="shared" si="42"/>
        <v>0</v>
      </c>
    </row>
    <row r="263" spans="1:5" ht="66.75" customHeight="1" hidden="1">
      <c r="A263" s="22" t="s">
        <v>232</v>
      </c>
      <c r="B263" s="12" t="s">
        <v>231</v>
      </c>
      <c r="C263" s="18">
        <v>0</v>
      </c>
      <c r="D263" s="18">
        <v>0</v>
      </c>
      <c r="E263" s="18">
        <v>0</v>
      </c>
    </row>
    <row r="264" spans="1:5" ht="48.75" customHeight="1" hidden="1">
      <c r="A264" s="21" t="s">
        <v>205</v>
      </c>
      <c r="B264" s="17" t="s">
        <v>206</v>
      </c>
      <c r="C264" s="16">
        <f aca="true" t="shared" si="43" ref="C264:E266">C265</f>
        <v>0</v>
      </c>
      <c r="D264" s="16">
        <f t="shared" si="43"/>
        <v>0</v>
      </c>
      <c r="E264" s="16">
        <f t="shared" si="43"/>
        <v>0</v>
      </c>
    </row>
    <row r="265" spans="1:5" ht="48" customHeight="1" hidden="1">
      <c r="A265" s="22" t="s">
        <v>207</v>
      </c>
      <c r="B265" s="12" t="s">
        <v>208</v>
      </c>
      <c r="C265" s="18">
        <f t="shared" si="43"/>
        <v>0</v>
      </c>
      <c r="D265" s="18">
        <f t="shared" si="43"/>
        <v>0</v>
      </c>
      <c r="E265" s="18">
        <f t="shared" si="43"/>
        <v>0</v>
      </c>
    </row>
    <row r="266" spans="1:5" ht="112.5" hidden="1">
      <c r="A266" s="22" t="s">
        <v>209</v>
      </c>
      <c r="B266" s="12" t="s">
        <v>210</v>
      </c>
      <c r="C266" s="18">
        <f t="shared" si="43"/>
        <v>0</v>
      </c>
      <c r="D266" s="18">
        <f t="shared" si="43"/>
        <v>0</v>
      </c>
      <c r="E266" s="18">
        <f t="shared" si="43"/>
        <v>0</v>
      </c>
    </row>
    <row r="267" spans="1:5" ht="112.5" hidden="1">
      <c r="A267" s="22" t="s">
        <v>211</v>
      </c>
      <c r="B267" s="12" t="s">
        <v>210</v>
      </c>
      <c r="C267" s="18">
        <v>0</v>
      </c>
      <c r="D267" s="18">
        <v>0</v>
      </c>
      <c r="E267" s="18">
        <v>0</v>
      </c>
    </row>
    <row r="268" spans="1:5" ht="131.25" hidden="1">
      <c r="A268" s="21" t="s">
        <v>217</v>
      </c>
      <c r="B268" s="17" t="s">
        <v>218</v>
      </c>
      <c r="C268" s="16">
        <f aca="true" t="shared" si="44" ref="C268:E269">C269</f>
        <v>0</v>
      </c>
      <c r="D268" s="16">
        <f t="shared" si="44"/>
        <v>0</v>
      </c>
      <c r="E268" s="16">
        <f t="shared" si="44"/>
        <v>0</v>
      </c>
    </row>
    <row r="269" spans="1:5" ht="112.5" hidden="1">
      <c r="A269" s="22" t="s">
        <v>219</v>
      </c>
      <c r="B269" s="12" t="s">
        <v>220</v>
      </c>
      <c r="C269" s="18">
        <f t="shared" si="44"/>
        <v>0</v>
      </c>
      <c r="D269" s="18">
        <f t="shared" si="44"/>
        <v>0</v>
      </c>
      <c r="E269" s="18">
        <f t="shared" si="44"/>
        <v>0</v>
      </c>
    </row>
    <row r="270" spans="1:5" ht="112.5" hidden="1">
      <c r="A270" s="22" t="s">
        <v>221</v>
      </c>
      <c r="B270" s="12" t="s">
        <v>222</v>
      </c>
      <c r="C270" s="18">
        <f>SUM(C271:C271)</f>
        <v>0</v>
      </c>
      <c r="D270" s="18">
        <f>SUM(D271:D271)</f>
        <v>0</v>
      </c>
      <c r="E270" s="18">
        <f>SUM(E271:E271)</f>
        <v>0</v>
      </c>
    </row>
    <row r="271" spans="1:5" ht="93.75" hidden="1">
      <c r="A271" s="22" t="s">
        <v>223</v>
      </c>
      <c r="B271" s="12" t="s">
        <v>224</v>
      </c>
      <c r="C271" s="18">
        <v>0</v>
      </c>
      <c r="D271" s="18">
        <v>0</v>
      </c>
      <c r="E271" s="18">
        <v>0</v>
      </c>
    </row>
    <row r="272" spans="1:5" ht="38.25" customHeight="1">
      <c r="A272" s="22" t="s">
        <v>436</v>
      </c>
      <c r="B272" s="12" t="s">
        <v>437</v>
      </c>
      <c r="C272" s="18">
        <f>C273</f>
        <v>9577150</v>
      </c>
      <c r="D272" s="18">
        <f>D273</f>
        <v>0</v>
      </c>
      <c r="E272" s="18">
        <f>E273</f>
        <v>0</v>
      </c>
    </row>
    <row r="273" spans="1:5" ht="69" customHeight="1">
      <c r="A273" s="22" t="s">
        <v>438</v>
      </c>
      <c r="B273" s="12" t="s">
        <v>231</v>
      </c>
      <c r="C273" s="18">
        <f>C275+C274</f>
        <v>9577150</v>
      </c>
      <c r="D273" s="18">
        <f>D275+D274</f>
        <v>0</v>
      </c>
      <c r="E273" s="18">
        <f>E275+E274</f>
        <v>0</v>
      </c>
    </row>
    <row r="274" spans="1:5" ht="69" customHeight="1">
      <c r="A274" s="22" t="s">
        <v>447</v>
      </c>
      <c r="B274" s="12" t="s">
        <v>231</v>
      </c>
      <c r="C274" s="18">
        <v>781200</v>
      </c>
      <c r="D274" s="18">
        <v>0</v>
      </c>
      <c r="E274" s="18">
        <v>0</v>
      </c>
    </row>
    <row r="275" spans="1:5" ht="77.25" customHeight="1">
      <c r="A275" s="22" t="s">
        <v>439</v>
      </c>
      <c r="B275" s="12" t="s">
        <v>231</v>
      </c>
      <c r="C275" s="18">
        <v>8795950</v>
      </c>
      <c r="D275" s="18">
        <v>0</v>
      </c>
      <c r="E275" s="18">
        <v>0</v>
      </c>
    </row>
    <row r="276" spans="1:5" ht="42" customHeight="1">
      <c r="A276" s="21" t="s">
        <v>337</v>
      </c>
      <c r="B276" s="17" t="s">
        <v>338</v>
      </c>
      <c r="C276" s="16">
        <f aca="true" t="shared" si="45" ref="C276:E278">C277</f>
        <v>93000</v>
      </c>
      <c r="D276" s="16">
        <f t="shared" si="45"/>
        <v>0</v>
      </c>
      <c r="E276" s="16">
        <f t="shared" si="45"/>
        <v>0</v>
      </c>
    </row>
    <row r="277" spans="1:5" ht="42" customHeight="1">
      <c r="A277" s="22" t="s">
        <v>207</v>
      </c>
      <c r="B277" s="12" t="s">
        <v>336</v>
      </c>
      <c r="C277" s="18">
        <f t="shared" si="45"/>
        <v>93000</v>
      </c>
      <c r="D277" s="18">
        <f t="shared" si="45"/>
        <v>0</v>
      </c>
      <c r="E277" s="18">
        <f t="shared" si="45"/>
        <v>0</v>
      </c>
    </row>
    <row r="278" spans="1:5" ht="102.75" customHeight="1">
      <c r="A278" s="22" t="s">
        <v>209</v>
      </c>
      <c r="B278" s="12" t="s">
        <v>335</v>
      </c>
      <c r="C278" s="18">
        <f t="shared" si="45"/>
        <v>93000</v>
      </c>
      <c r="D278" s="18">
        <f t="shared" si="45"/>
        <v>0</v>
      </c>
      <c r="E278" s="18">
        <f t="shared" si="45"/>
        <v>0</v>
      </c>
    </row>
    <row r="279" spans="1:5" ht="103.5" customHeight="1">
      <c r="A279" s="22" t="s">
        <v>211</v>
      </c>
      <c r="B279" s="12" t="s">
        <v>335</v>
      </c>
      <c r="C279" s="18">
        <f>50000+43000</f>
        <v>93000</v>
      </c>
      <c r="D279" s="18">
        <v>0</v>
      </c>
      <c r="E279" s="18">
        <v>0</v>
      </c>
    </row>
    <row r="280" spans="1:5" ht="120" customHeight="1">
      <c r="A280" s="21" t="s">
        <v>339</v>
      </c>
      <c r="B280" s="17" t="s">
        <v>218</v>
      </c>
      <c r="C280" s="16">
        <f aca="true" t="shared" si="46" ref="C280:E281">C281</f>
        <v>-211569.61</v>
      </c>
      <c r="D280" s="16">
        <f t="shared" si="46"/>
        <v>0</v>
      </c>
      <c r="E280" s="16">
        <f t="shared" si="46"/>
        <v>0</v>
      </c>
    </row>
    <row r="281" spans="1:5" ht="115.5" customHeight="1">
      <c r="A281" s="22" t="s">
        <v>219</v>
      </c>
      <c r="B281" s="12" t="s">
        <v>340</v>
      </c>
      <c r="C281" s="18">
        <f t="shared" si="46"/>
        <v>-211569.61</v>
      </c>
      <c r="D281" s="18">
        <f t="shared" si="46"/>
        <v>0</v>
      </c>
      <c r="E281" s="18">
        <f t="shared" si="46"/>
        <v>0</v>
      </c>
    </row>
    <row r="282" spans="1:5" ht="107.25" customHeight="1">
      <c r="A282" s="22" t="s">
        <v>221</v>
      </c>
      <c r="B282" s="12" t="s">
        <v>222</v>
      </c>
      <c r="C282" s="18">
        <f>SUM(C283:C284)</f>
        <v>-211569.61</v>
      </c>
      <c r="D282" s="18">
        <f>SUM(D283:D284)</f>
        <v>0</v>
      </c>
      <c r="E282" s="18">
        <f>SUM(E283:E284)</f>
        <v>0</v>
      </c>
    </row>
    <row r="283" spans="1:5" ht="108" customHeight="1">
      <c r="A283" s="22" t="s">
        <v>223</v>
      </c>
      <c r="B283" s="12" t="s">
        <v>222</v>
      </c>
      <c r="C283" s="18">
        <v>-9141.11</v>
      </c>
      <c r="D283" s="18">
        <v>0</v>
      </c>
      <c r="E283" s="18">
        <v>0</v>
      </c>
    </row>
    <row r="284" spans="1:5" ht="96.75" customHeight="1">
      <c r="A284" s="22" t="s">
        <v>225</v>
      </c>
      <c r="B284" s="12" t="s">
        <v>222</v>
      </c>
      <c r="C284" s="18">
        <v>-202428.5</v>
      </c>
      <c r="D284" s="18">
        <v>0</v>
      </c>
      <c r="E284" s="18">
        <v>0</v>
      </c>
    </row>
    <row r="285" spans="1:5" ht="36" customHeight="1">
      <c r="A285" s="44" t="s">
        <v>132</v>
      </c>
      <c r="B285" s="45"/>
      <c r="C285" s="23">
        <f>C28+C196</f>
        <v>378041278.92999995</v>
      </c>
      <c r="D285" s="23">
        <f>D28+D196</f>
        <v>234471893.7</v>
      </c>
      <c r="E285" s="23">
        <f>E28+E196</f>
        <v>229692614.13</v>
      </c>
    </row>
    <row r="286" spans="3:5" ht="18.75">
      <c r="C286" s="4"/>
      <c r="E286" s="4" t="s">
        <v>334</v>
      </c>
    </row>
    <row r="287" ht="18.75">
      <c r="C287" s="8"/>
    </row>
    <row r="289" ht="18.75">
      <c r="C289" s="8"/>
    </row>
    <row r="290" ht="18.75">
      <c r="D290" s="9"/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C25:E25"/>
    <mergeCell ref="A285:B285"/>
    <mergeCell ref="A25:A26"/>
    <mergeCell ref="B25:B26"/>
    <mergeCell ref="A24:E24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2020-10-22T12:43:00Z</cp:lastPrinted>
  <dcterms:created xsi:type="dcterms:W3CDTF">2009-08-21T08:27:43Z</dcterms:created>
  <dcterms:modified xsi:type="dcterms:W3CDTF">2021-08-23T11:15:07Z</dcterms:modified>
  <cp:category/>
  <cp:version/>
  <cp:contentType/>
  <cp:contentStatus/>
</cp:coreProperties>
</file>