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E333" i="1" l="1"/>
  <c r="E332" i="1"/>
  <c r="E331" i="1"/>
  <c r="E330" i="1"/>
  <c r="D333" i="1"/>
  <c r="D332" i="1"/>
  <c r="D331" i="1"/>
  <c r="D330" i="1"/>
  <c r="E326" i="1"/>
  <c r="D326" i="1"/>
  <c r="E262" i="1"/>
  <c r="D262" i="1"/>
  <c r="E261" i="1"/>
  <c r="D261" i="1"/>
  <c r="D134" i="1"/>
  <c r="D130" i="1"/>
  <c r="E67" i="1"/>
  <c r="D67" i="1"/>
  <c r="E76" i="1"/>
  <c r="D76" i="1"/>
  <c r="D69" i="1" l="1"/>
  <c r="D137" i="1" l="1"/>
  <c r="D131" i="1"/>
  <c r="E129" i="1"/>
  <c r="D129" i="1"/>
  <c r="D125" i="1" l="1"/>
  <c r="E71" i="1"/>
  <c r="D71" i="1"/>
  <c r="E316" i="1" l="1"/>
  <c r="D316" i="1"/>
  <c r="E315" i="1"/>
  <c r="D315" i="1"/>
  <c r="E83" i="1"/>
  <c r="D83" i="1"/>
  <c r="E82" i="1"/>
  <c r="D82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127" i="1" l="1"/>
  <c r="D127" i="1"/>
  <c r="D123" i="1" l="1"/>
  <c r="D122" i="1"/>
  <c r="D138" i="1"/>
  <c r="D144" i="1"/>
  <c r="D142" i="1"/>
  <c r="D37" i="1"/>
  <c r="D119" i="1" l="1"/>
  <c r="E180" i="1" l="1"/>
  <c r="D180" i="1"/>
  <c r="E179" i="1" l="1"/>
  <c r="E178" i="1" s="1"/>
  <c r="D179" i="1"/>
  <c r="D178" i="1" s="1"/>
  <c r="E170" i="1"/>
  <c r="D170" i="1"/>
  <c r="E52" i="1" l="1"/>
  <c r="D52" i="1"/>
  <c r="E245" i="1" l="1"/>
  <c r="D245" i="1"/>
  <c r="D64" i="1" l="1"/>
  <c r="D338" i="1" l="1"/>
  <c r="E327" i="1"/>
  <c r="D327" i="1"/>
  <c r="E325" i="1"/>
  <c r="D325" i="1"/>
  <c r="E323" i="1"/>
  <c r="D323" i="1"/>
  <c r="E319" i="1"/>
  <c r="D319" i="1"/>
  <c r="E283" i="1"/>
  <c r="D283" i="1"/>
  <c r="E271" i="1"/>
  <c r="E270" i="1" s="1"/>
  <c r="D272" i="1"/>
  <c r="D271" i="1" s="1"/>
  <c r="D270" i="1" s="1"/>
  <c r="E260" i="1"/>
  <c r="D260" i="1"/>
  <c r="E258" i="1"/>
  <c r="D258" i="1"/>
  <c r="D174" i="1"/>
  <c r="E168" i="1"/>
  <c r="D168" i="1"/>
  <c r="E165" i="1"/>
  <c r="D165" i="1"/>
  <c r="E161" i="1"/>
  <c r="E99" i="1"/>
  <c r="D99" i="1"/>
  <c r="E65" i="1" l="1"/>
  <c r="E64" i="1" s="1"/>
  <c r="D32" i="1"/>
  <c r="D30" i="1"/>
  <c r="D89" i="1" l="1"/>
  <c r="D38" i="1" l="1"/>
  <c r="D42" i="1" l="1"/>
  <c r="E42" i="1" l="1"/>
  <c r="E119" i="1"/>
  <c r="E339" i="1"/>
  <c r="D339" i="1"/>
  <c r="E335" i="1" l="1"/>
  <c r="D335" i="1"/>
  <c r="D318" i="1"/>
  <c r="D274" i="1"/>
  <c r="D259" i="1"/>
  <c r="E250" i="1"/>
  <c r="E249" i="1" s="1"/>
  <c r="D250" i="1"/>
  <c r="D249" i="1" s="1"/>
  <c r="E229" i="1"/>
  <c r="D229" i="1"/>
  <c r="D224" i="1"/>
  <c r="E224" i="1"/>
  <c r="E202" i="1"/>
  <c r="D202" i="1"/>
  <c r="E196" i="1"/>
  <c r="D196" i="1"/>
  <c r="E156" i="1"/>
  <c r="D156" i="1"/>
  <c r="E153" i="1"/>
  <c r="D153" i="1"/>
  <c r="D143" i="1"/>
  <c r="E143" i="1"/>
  <c r="E131" i="1"/>
  <c r="E121" i="1"/>
  <c r="E120" i="1" s="1"/>
  <c r="D121" i="1"/>
  <c r="D120" i="1" s="1"/>
  <c r="D87" i="1"/>
  <c r="E80" i="1"/>
  <c r="D80" i="1"/>
  <c r="E68" i="1"/>
  <c r="D68" i="1"/>
  <c r="E35" i="1"/>
  <c r="D35" i="1"/>
  <c r="E175" i="1" l="1"/>
  <c r="D175" i="1"/>
  <c r="E334" i="1" l="1"/>
  <c r="D334" i="1"/>
  <c r="E318" i="1"/>
  <c r="E317" i="1" s="1"/>
  <c r="D313" i="1"/>
  <c r="E313" i="1"/>
  <c r="E312" i="1" s="1"/>
  <c r="E311" i="1" s="1"/>
  <c r="D309" i="1"/>
  <c r="E309" i="1"/>
  <c r="E308" i="1" s="1"/>
  <c r="D306" i="1"/>
  <c r="E306" i="1"/>
  <c r="E305" i="1" s="1"/>
  <c r="D302" i="1"/>
  <c r="E302" i="1"/>
  <c r="D300" i="1"/>
  <c r="E300" i="1"/>
  <c r="D296" i="1"/>
  <c r="E296" i="1"/>
  <c r="E295" i="1" s="1"/>
  <c r="D292" i="1"/>
  <c r="E292" i="1"/>
  <c r="E291" i="1" s="1"/>
  <c r="D287" i="1"/>
  <c r="E287" i="1"/>
  <c r="E286" i="1" s="1"/>
  <c r="D282" i="1"/>
  <c r="E282" i="1"/>
  <c r="E281" i="1" s="1"/>
  <c r="D278" i="1"/>
  <c r="E278" i="1"/>
  <c r="E274" i="1"/>
  <c r="D267" i="1"/>
  <c r="E267" i="1"/>
  <c r="D263" i="1"/>
  <c r="E263" i="1"/>
  <c r="E259" i="1"/>
  <c r="D257" i="1"/>
  <c r="E257" i="1"/>
  <c r="D253" i="1"/>
  <c r="D252" i="1" s="1"/>
  <c r="E253" i="1"/>
  <c r="E252" i="1" s="1"/>
  <c r="D242" i="1"/>
  <c r="E242" i="1"/>
  <c r="D238" i="1"/>
  <c r="E238" i="1"/>
  <c r="E237" i="1" s="1"/>
  <c r="E236" i="1" s="1"/>
  <c r="D233" i="1"/>
  <c r="E233" i="1"/>
  <c r="E232" i="1" s="1"/>
  <c r="E228" i="1"/>
  <c r="E223" i="1"/>
  <c r="D218" i="1"/>
  <c r="E218" i="1"/>
  <c r="E217" i="1" s="1"/>
  <c r="D210" i="1"/>
  <c r="E210" i="1"/>
  <c r="E209" i="1" s="1"/>
  <c r="E201" i="1"/>
  <c r="E195" i="1"/>
  <c r="D189" i="1"/>
  <c r="E189" i="1"/>
  <c r="D185" i="1"/>
  <c r="E185" i="1"/>
  <c r="E184" i="1" s="1"/>
  <c r="D182" i="1"/>
  <c r="E182" i="1"/>
  <c r="E181" i="1" s="1"/>
  <c r="E177" i="1"/>
  <c r="D173" i="1"/>
  <c r="D172" i="1" s="1"/>
  <c r="E173" i="1"/>
  <c r="E172" i="1" s="1"/>
  <c r="D164" i="1"/>
  <c r="D163" i="1" s="1"/>
  <c r="E164" i="1"/>
  <c r="E163" i="1" s="1"/>
  <c r="D160" i="1"/>
  <c r="E160" i="1"/>
  <c r="E159" i="1" s="1"/>
  <c r="D155" i="1"/>
  <c r="E155" i="1"/>
  <c r="D151" i="1"/>
  <c r="E151" i="1"/>
  <c r="D147" i="1"/>
  <c r="E147" i="1"/>
  <c r="D141" i="1"/>
  <c r="E141" i="1"/>
  <c r="E137" i="1"/>
  <c r="E125" i="1" s="1"/>
  <c r="D118" i="1"/>
  <c r="E118" i="1"/>
  <c r="E117" i="1" s="1"/>
  <c r="D112" i="1"/>
  <c r="E112" i="1"/>
  <c r="E111" i="1" s="1"/>
  <c r="D107" i="1"/>
  <c r="E107" i="1"/>
  <c r="E106" i="1" s="1"/>
  <c r="D103" i="1"/>
  <c r="E103" i="1"/>
  <c r="E102" i="1" s="1"/>
  <c r="D98" i="1"/>
  <c r="E98" i="1"/>
  <c r="E97" i="1" s="1"/>
  <c r="E94" i="1"/>
  <c r="E93" i="1" s="1"/>
  <c r="D94" i="1"/>
  <c r="E87" i="1"/>
  <c r="E86" i="1" s="1"/>
  <c r="D84" i="1"/>
  <c r="E84" i="1"/>
  <c r="D73" i="1"/>
  <c r="E73" i="1"/>
  <c r="D41" i="1"/>
  <c r="E41" i="1"/>
  <c r="E38" i="1"/>
  <c r="D29" i="1"/>
  <c r="E29" i="1"/>
  <c r="D146" i="1" l="1"/>
  <c r="E146" i="1"/>
  <c r="D317" i="1"/>
  <c r="D312" i="1"/>
  <c r="D308" i="1"/>
  <c r="D305" i="1"/>
  <c r="D295" i="1"/>
  <c r="D291" i="1"/>
  <c r="D286" i="1"/>
  <c r="D281" i="1"/>
  <c r="D273" i="1"/>
  <c r="D256" i="1"/>
  <c r="D241" i="1"/>
  <c r="D240" i="1" s="1"/>
  <c r="D237" i="1"/>
  <c r="D232" i="1"/>
  <c r="D228" i="1"/>
  <c r="D217" i="1"/>
  <c r="D209" i="1"/>
  <c r="D201" i="1"/>
  <c r="D195" i="1"/>
  <c r="D188" i="1"/>
  <c r="D184" i="1"/>
  <c r="D181" i="1"/>
  <c r="D177" i="1"/>
  <c r="D159" i="1"/>
  <c r="D117" i="1"/>
  <c r="D111" i="1"/>
  <c r="D106" i="1"/>
  <c r="D102" i="1"/>
  <c r="D97" i="1"/>
  <c r="D93" i="1"/>
  <c r="D86" i="1"/>
  <c r="D28" i="1"/>
  <c r="D299" i="1"/>
  <c r="D79" i="1"/>
  <c r="D223" i="1"/>
  <c r="E304" i="1"/>
  <c r="E299" i="1"/>
  <c r="E298" i="1" s="1"/>
  <c r="E285" i="1"/>
  <c r="E273" i="1"/>
  <c r="E256" i="1"/>
  <c r="E241" i="1"/>
  <c r="E240" i="1" s="1"/>
  <c r="E216" i="1"/>
  <c r="E194" i="1"/>
  <c r="E188" i="1"/>
  <c r="E162" i="1" s="1"/>
  <c r="E79" i="1"/>
  <c r="E28" i="1"/>
  <c r="D255" i="1" l="1"/>
  <c r="E255" i="1"/>
  <c r="E105" i="1"/>
  <c r="D285" i="1"/>
  <c r="D311" i="1"/>
  <c r="D304" i="1"/>
  <c r="D298" i="1"/>
  <c r="D236" i="1"/>
  <c r="D216" i="1"/>
  <c r="D194" i="1"/>
  <c r="D105" i="1"/>
  <c r="D162" i="1"/>
  <c r="D27" i="1"/>
  <c r="E27" i="1"/>
  <c r="E341" i="1" l="1"/>
  <c r="D341" i="1"/>
</calcChain>
</file>

<file path=xl/sharedStrings.xml><?xml version="1.0" encoding="utf-8"?>
<sst xmlns="http://schemas.openxmlformats.org/spreadsheetml/2006/main" count="655" uniqueCount="607">
  <si>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</si>
  <si>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</si>
  <si>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</si>
  <si>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</si>
  <si>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</si>
  <si>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</si>
  <si>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</si>
  <si>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</si>
  <si>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</si>
  <si>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</si>
  <si>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</si>
  <si>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</si>
  <si>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</si>
  <si>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</si>
  <si>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</si>
  <si>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</si>
  <si>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</si>
  <si>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</si>
  <si>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</si>
  <si>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</si>
  <si>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</si>
  <si>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</si>
  <si>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</si>
  <si>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</si>
  <si>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</si>
  <si>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</si>
  <si>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</si>
  <si>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</si>
  <si>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</si>
  <si>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</si>
  <si>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</si>
  <si>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</si>
  <si>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</si>
  <si>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</si>
  <si>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</si>
  <si>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</si>
  <si>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</si>
  <si>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</si>
  <si>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</si>
  <si>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</si>
  <si>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</si>
  <si>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</si>
  <si>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</si>
  <si>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</si>
  <si>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</si>
  <si>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</si>
  <si>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</si>
  <si>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</si>
  <si>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</si>
  <si>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</si>
  <si>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</si>
  <si>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</si>
  <si>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</si>
  <si>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</si>
  <si>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</si>
  <si>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</si>
  <si>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</si>
  <si>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</si>
  <si>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</si>
  <si>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</si>
  <si>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</si>
  <si>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</si>
  <si>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</si>
  <si>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</si>
  <si>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</si>
  <si>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</si>
  <si>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</si>
  <si>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</si>
  <si>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</si>
  <si>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</si>
  <si>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</si>
  <si>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</si>
  <si>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</si>
  <si>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</si>
  <si>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</si>
  <si>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</si>
  <si>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</si>
  <si>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</si>
  <si>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</si>
  <si>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</si>
  <si>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</si>
  <si>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</si>
  <si>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</si>
  <si>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</si>
  <si>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</si>
  <si>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</si>
  <si>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</si>
  <si>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</si>
  <si>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</si>
  <si>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</si>
  <si>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</si>
  <si>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</si>
  <si>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</si>
  <si>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</si>
  <si>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</si>
  <si>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</si>
  <si>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</si>
  <si>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</si>
  <si>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</si>
  <si>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</si>
  <si>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</si>
  <si>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</si>
  <si>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</si>
  <si>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</si>
  <si>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</si>
  <si>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</si>
  <si>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</si>
  <si>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</si>
  <si>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</si>
  <si>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</si>
  <si>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</si>
  <si>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</si>
  <si>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</si>
  <si>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</si>
  <si>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</si>
  <si>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</si>
  <si>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</si>
  <si>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</si>
  <si>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</si>
  <si>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</si>
  <si>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</si>
  <si>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</si>
  <si>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</si>
  <si>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</si>
  <si>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</si>
  <si>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</si>
  <si>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</si>
  <si>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</si>
  <si>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</si>
  <si>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</si>
  <si>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</si>
  <si>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</si>
  <si>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</si>
  <si>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</si>
  <si>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</si>
  <si>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</si>
  <si>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</si>
  <si>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</si>
  <si>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</si>
  <si>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</si>
  <si>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</si>
  <si>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</si>
  <si>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</si>
  <si>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</si>
  <si>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</si>
  <si>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</si>
  <si>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</si>
  <si>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</si>
  <si>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</si>
  <si>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</si>
  <si>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</si>
  <si>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</si>
  <si>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</si>
  <si>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</si>
  <si>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</si>
  <si>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</si>
  <si>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</si>
  <si>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</si>
  <si>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</si>
  <si>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</si>
  <si>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</si>
  <si>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</si>
  <si>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</si>
  <si>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</si>
  <si>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</si>
  <si>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</si>
  <si>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</si>
  <si>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</si>
  <si>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</si>
  <si>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</si>
  <si>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</si>
  <si>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</si>
  <si>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</si>
  <si>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</si>
  <si>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</si>
  <si>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</si>
  <si>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</si>
  <si>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</si>
  <si>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</si>
  <si>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</si>
  <si>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</si>
  <si>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</si>
  <si>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</si>
  <si>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</si>
  <si>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</si>
  <si>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</si>
  <si>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</si>
  <si>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</si>
  <si>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</si>
  <si>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</si>
  <si>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</si>
  <si>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</si>
  <si>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</si>
  <si>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</si>
  <si>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</si>
  <si>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</si>
  <si>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</si>
  <si>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</si>
  <si>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</si>
  <si>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</si>
  <si>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</si>
  <si>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</si>
  <si>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</si>
  <si>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</si>
  <si>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</si>
  <si>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</si>
  <si>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</si>
  <si>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</si>
  <si>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</si>
  <si>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</si>
  <si>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</si>
  <si>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</si>
  <si>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</si>
  <si>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</si>
  <si>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</si>
  <si>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</si>
  <si>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</si>
  <si>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</si>
  <si>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</si>
  <si>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</si>
  <si>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</si>
  <si>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</si>
  <si>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</si>
  <si>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</si>
  <si>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</si>
  <si>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</si>
  <si>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</si>
  <si>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</si>
  <si>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</si>
  <si>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</si>
  <si>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</si>
  <si>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</si>
  <si>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</si>
  <si>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</si>
  <si>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</si>
  <si>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</si>
  <si>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</si>
  <si>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</si>
  <si>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</si>
  <si>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</si>
  <si>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</si>
  <si>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</si>
  <si>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</si>
  <si>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</si>
  <si>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</si>
  <si>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</si>
  <si>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</si>
  <si>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</si>
  <si>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</si>
  <si>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</si>
  <si>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</si>
  <si>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</si>
  <si>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</si>
  <si>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</si>
  <si>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</si>
  <si>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</si>
  <si>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</si>
  <si>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</si>
  <si>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</si>
  <si>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</si>
  <si>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</si>
  <si>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</si>
  <si>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</si>
  <si>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</si>
  <si>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</si>
  <si>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</si>
  <si>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</si>
  <si>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</si>
  <si>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</si>
  <si>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</si>
  <si>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</si>
  <si>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</si>
  <si>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</si>
  <si>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</si>
  <si>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</si>
  <si>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</si>
  <si>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</si>
  <si>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</si>
  <si>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</si>
  <si>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</si>
  <si>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</si>
  <si>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</si>
  <si>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</si>
  <si>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</si>
  <si>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</si>
  <si>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</si>
  <si>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</si>
  <si>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</si>
  <si>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</si>
  <si>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</si>
  <si>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</si>
  <si>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</si>
  <si>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</si>
  <si>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</si>
  <si>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</si>
  <si>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</si>
  <si>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</si>
  <si>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</si>
  <si>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</si>
  <si>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</si>
  <si>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</si>
  <si>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</si>
  <si>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</si>
  <si>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</si>
  <si>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</si>
  <si>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</si>
  <si>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</si>
  <si>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</si>
  <si>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</si>
  <si>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</si>
  <si>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</si>
  <si>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</si>
  <si>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</si>
  <si>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</si>
  <si>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</si>
  <si>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</si>
  <si>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</si>
  <si>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</si>
  <si>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</si>
  <si>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</si>
  <si>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</si>
  <si>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</si>
  <si>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</si>
  <si>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</si>
  <si>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</si>
  <si>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</si>
  <si>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</si>
  <si>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</si>
  <si>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</si>
  <si>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</si>
  <si>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</si>
  <si>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</si>
  <si>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</si>
  <si>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</si>
  <si>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</si>
  <si>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</si>
  <si>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</si>
  <si>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</si>
  <si>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</si>
  <si>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</si>
  <si>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</si>
  <si>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</si>
  <si>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</si>
  <si>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</si>
  <si>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</si>
  <si>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</si>
  <si>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</si>
  <si>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</si>
  <si>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</si>
  <si>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</si>
  <si>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</si>
  <si>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</si>
  <si>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</si>
  <si>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</si>
  <si>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</si>
  <si>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</si>
  <si>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</si>
  <si>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</si>
  <si>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</si>
  <si>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</si>
  <si>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</si>
  <si>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</si>
  <si>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</si>
  <si>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</si>
  <si>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</si>
  <si>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</si>
  <si>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</si>
  <si>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</si>
  <si>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</si>
  <si>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</si>
  <si>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</si>
  <si>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</si>
  <si>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</si>
  <si>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</si>
  <si>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</si>
  <si>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</si>
  <si>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</si>
  <si>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</si>
  <si>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</si>
  <si>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</si>
  <si>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</si>
  <si>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</si>
  <si>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</si>
  <si>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</si>
  <si>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</si>
  <si>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</si>
  <si>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</si>
  <si>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</si>
  <si>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</si>
  <si>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</si>
  <si>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</si>
  <si>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</si>
  <si>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</si>
  <si>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</si>
  <si>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</si>
  <si>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</si>
  <si>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</si>
  <si>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</si>
  <si>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</si>
  <si>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</si>
  <si>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</si>
  <si>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</si>
  <si>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</si>
  <si>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</si>
  <si>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</si>
  <si>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</si>
  <si>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</si>
  <si>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</si>
  <si>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</si>
  <si>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</si>
  <si>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</si>
  <si>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</si>
  <si>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</si>
  <si>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</si>
  <si>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</si>
  <si>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</si>
  <si>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</si>
  <si>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</si>
  <si>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</si>
  <si>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</si>
  <si>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</si>
  <si>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</si>
  <si>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</si>
  <si>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</si>
  <si>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</si>
  <si>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</si>
  <si>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</si>
  <si>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</si>
  <si>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</si>
  <si>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</si>
  <si>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</si>
  <si>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</si>
  <si>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</si>
  <si>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</si>
  <si>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</si>
  <si>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</si>
  <si>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</si>
  <si>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</si>
  <si>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</si>
  <si>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</si>
  <si>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</si>
  <si>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</si>
  <si>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</si>
  <si>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</si>
  <si>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</si>
  <si>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</si>
  <si>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</si>
  <si>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</si>
  <si>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</si>
  <si>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</si>
  <si>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</si>
  <si>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</si>
  <si>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</si>
  <si>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</si>
  <si>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</si>
  <si>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</si>
  <si>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</si>
  <si>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</si>
  <si>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</si>
  <si>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</si>
  <si>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</si>
  <si>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</si>
  <si>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</si>
  <si>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</si>
  <si>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</si>
  <si>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</si>
  <si>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</si>
  <si>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</si>
  <si>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</si>
  <si>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</si>
  <si>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</si>
  <si>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</si>
  <si>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</si>
  <si>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</si>
  <si>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</si>
  <si>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</si>
  <si>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</si>
  <si>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</si>
  <si>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</si>
  <si>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</si>
  <si>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</si>
  <si>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</si>
  <si>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</si>
  <si>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</si>
  <si>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</si>
  <si>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</si>
  <si>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</si>
  <si>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</si>
  <si>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</si>
  <si>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</si>
  <si>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</si>
  <si>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</si>
  <si>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</si>
  <si>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</si>
  <si>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</si>
  <si>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</si>
  <si>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</si>
  <si>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</si>
  <si>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</si>
  <si>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</si>
  <si>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</si>
  <si>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</si>
  <si>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</si>
  <si>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</si>
  <si>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</si>
  <si>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</si>
  <si>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</si>
  <si>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</si>
  <si>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</si>
  <si>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</si>
  <si>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</si>
  <si>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</si>
  <si>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</si>
  <si>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</si>
  <si>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</si>
  <si>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</si>
  <si>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</si>
  <si>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</si>
  <si>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</si>
  <si>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</si>
  <si>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</si>
  <si>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</si>
  <si>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</si>
  <si>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</si>
  <si>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</si>
  <si>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</si>
  <si>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</si>
  <si>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</si>
  <si>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</si>
  <si>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</si>
  <si>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</si>
  <si>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</si>
  <si>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</si>
  <si>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</si>
  <si>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</si>
  <si>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</si>
  <si>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</si>
  <si>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</si>
  <si>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</si>
  <si>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</si>
  <si>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</si>
  <si>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</si>
  <si>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</si>
  <si>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</si>
  <si>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</si>
  <si>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</si>
  <si>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</si>
  <si>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</si>
  <si>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</si>
  <si>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</si>
  <si>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</si>
  <si>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</si>
  <si>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</si>
  <si>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</si>
  <si>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</si>
  <si>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</si>
  <si>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</si>
  <si>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</si>
  <si>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</si>
  <si>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</si>
  <si>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</si>
  <si>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</si>
  <si>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</si>
  <si>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</si>
  <si>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</si>
  <si>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</si>
  <si>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</si>
  <si>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</si>
  <si>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</si>
  <si>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</si>
  <si>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</si>
  <si>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</si>
  <si>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</si>
  <si>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</si>
  <si>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</si>
  <si>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</si>
  <si>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</si>
  <si>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</si>
  <si>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</si>
  <si>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</si>
  <si>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</si>
  <si>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</si>
  <si>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</si>
  <si>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</si>
  <si>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</si>
  <si>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</si>
  <si>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</si>
  <si>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</si>
  <si>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Приложение № 5</t>
  </si>
  <si>
    <t>02 Д 02 00000</t>
  </si>
  <si>
    <t>02 Д 02 25230</t>
  </si>
  <si>
    <t>Основное мероприятие "Организация в границах поселений теплоснабжения населения"</t>
  </si>
  <si>
    <t xml:space="preserve">Приобретение материалов для ремонта системы теплоснабжения -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 </t>
  </si>
  <si>
    <t>02 Д 03 25240</t>
  </si>
  <si>
    <t xml:space="preserve"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</si>
  <si>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03 25250</t>
  </si>
  <si>
    <t xml:space="preserve"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 </t>
  </si>
  <si>
    <t>02 Д 04 25260</t>
  </si>
  <si>
    <t xml:space="preserve">Приобретение материалов для ремонта системы водоотведения -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</si>
  <si>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04 25270</t>
  </si>
  <si>
    <t xml:space="preserve">Приобретение материалов для ремонта системы водоотведения -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</si>
  <si>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</si>
  <si>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01 3 03 00000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</si>
  <si>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</si>
  <si>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01 3 03 25450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</si>
  <si>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</si>
  <si>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от 14.12.2022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</si>
</sst>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59"/>
  <sheetViews>
    <sheetView tabSelected="1" zoomScale="90" zoomScaleNormal="90" workbookViewId="0">
      <selection activeCell="A5" sqref="A5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 x14ac:dyDescent="0.3">
      <c r="C1" s="36" t="s">
        <v>588</v>
      </c>
      <c r="D1" s="36"/>
      <c r="E1" s="36"/>
    </row>
    <row r="2" spans="3:5" x14ac:dyDescent="0.3">
      <c r="C2" s="36" t="s">
        <v>550</v>
      </c>
      <c r="D2" s="36"/>
      <c r="E2" s="36"/>
    </row>
    <row r="3" spans="3:5" x14ac:dyDescent="0.3">
      <c r="C3" s="36" t="s">
        <v>551</v>
      </c>
      <c r="D3" s="36"/>
      <c r="E3" s="36"/>
    </row>
    <row r="4" spans="3:5" x14ac:dyDescent="0.3">
      <c r="C4" s="36" t="s">
        <v>573</v>
      </c>
      <c r="D4" s="36"/>
      <c r="E4" s="36"/>
    </row>
    <row r="5" spans="3:5" x14ac:dyDescent="0.3">
      <c r="C5" s="36" t="s">
        <v>574</v>
      </c>
      <c r="D5" s="36"/>
      <c r="E5" s="36"/>
    </row>
    <row r="6" spans="3:5" x14ac:dyDescent="0.3">
      <c r="C6" s="36" t="s">
        <v>551</v>
      </c>
      <c r="D6" s="36"/>
      <c r="E6" s="36"/>
    </row>
    <row r="7" spans="3:5" x14ac:dyDescent="0.3">
      <c r="C7" s="36" t="s">
        <v>575</v>
      </c>
      <c r="D7" s="36"/>
      <c r="E7" s="36"/>
    </row>
    <row r="8" spans="3:5" x14ac:dyDescent="0.3">
      <c r="C8" s="36" t="s">
        <v>576</v>
      </c>
      <c r="D8" s="36"/>
      <c r="E8" s="36"/>
    </row>
    <row r="9" spans="3:5" x14ac:dyDescent="0.3">
      <c r="C9" s="36" t="s">
        <v>553</v>
      </c>
      <c r="D9" s="36"/>
      <c r="E9" s="36"/>
    </row>
    <row r="10" spans="3:5" x14ac:dyDescent="0.3">
      <c r="C10" s="36" t="s">
        <v>577</v>
      </c>
      <c r="D10" s="36"/>
      <c r="E10" s="36"/>
    </row>
    <row r="11" spans="3:5" x14ac:dyDescent="0.3">
      <c r="C11" s="45" t="s">
        <v>606</v>
      </c>
      <c r="D11" s="36"/>
      <c r="E11" s="36"/>
    </row>
    <row r="13" spans="3:5" x14ac:dyDescent="0.3">
      <c r="C13" s="36" t="s">
        <v>578</v>
      </c>
      <c r="D13" s="36"/>
      <c r="E13" s="36"/>
    </row>
    <row r="14" spans="3:5" x14ac:dyDescent="0.3">
      <c r="C14" s="36" t="s">
        <v>550</v>
      </c>
      <c r="D14" s="36"/>
      <c r="E14" s="36"/>
    </row>
    <row r="15" spans="3:5" x14ac:dyDescent="0.3">
      <c r="C15" s="36" t="s">
        <v>551</v>
      </c>
      <c r="D15" s="36"/>
      <c r="E15" s="36"/>
    </row>
    <row r="16" spans="3:5" x14ac:dyDescent="0.3">
      <c r="C16" s="36" t="s">
        <v>552</v>
      </c>
      <c r="D16" s="36"/>
      <c r="E16" s="36"/>
    </row>
    <row r="17" spans="1:5" x14ac:dyDescent="0.3">
      <c r="C17" s="36" t="s">
        <v>551</v>
      </c>
      <c r="D17" s="36"/>
      <c r="E17" s="36"/>
    </row>
    <row r="18" spans="1:5" x14ac:dyDescent="0.3">
      <c r="C18" s="36" t="s">
        <v>553</v>
      </c>
      <c r="D18" s="36"/>
      <c r="E18" s="36"/>
    </row>
    <row r="19" spans="1:5" x14ac:dyDescent="0.3">
      <c r="C19" s="36" t="s">
        <v>554</v>
      </c>
      <c r="D19" s="36"/>
      <c r="E19" s="36"/>
    </row>
    <row r="20" spans="1:5" x14ac:dyDescent="0.3">
      <c r="C20" s="36" t="s">
        <v>569</v>
      </c>
      <c r="D20" s="36"/>
      <c r="E20" s="36"/>
    </row>
    <row r="22" spans="1:5" ht="102" customHeight="1" x14ac:dyDescent="0.3">
      <c r="A22" s="41" t="s">
        <v>545</v>
      </c>
      <c r="B22" s="41"/>
      <c r="C22" s="41"/>
      <c r="D22" s="41"/>
      <c r="E22" s="41"/>
    </row>
    <row r="23" spans="1:5" ht="24" customHeight="1" x14ac:dyDescent="0.3">
      <c r="A23" s="42"/>
      <c r="B23" s="42"/>
      <c r="C23" s="42"/>
    </row>
    <row r="24" spans="1:5" ht="18.75" customHeight="1" x14ac:dyDescent="0.3">
      <c r="A24" s="43" t="s">
        <v>132</v>
      </c>
      <c r="B24" s="43" t="s">
        <v>133</v>
      </c>
      <c r="C24" s="43" t="s">
        <v>134</v>
      </c>
      <c r="D24" s="37" t="s">
        <v>460</v>
      </c>
      <c r="E24" s="39" t="s">
        <v>493</v>
      </c>
    </row>
    <row r="25" spans="1:5" ht="83.25" customHeight="1" x14ac:dyDescent="0.3">
      <c r="A25" s="44"/>
      <c r="B25" s="44"/>
      <c r="C25" s="44"/>
      <c r="D25" s="38"/>
      <c r="E25" s="40"/>
    </row>
    <row r="26" spans="1:5" x14ac:dyDescent="0.3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 x14ac:dyDescent="0.3">
      <c r="A27" s="16" t="s">
        <v>174</v>
      </c>
      <c r="B27" s="17" t="s">
        <v>0</v>
      </c>
      <c r="C27" s="17"/>
      <c r="D27" s="13">
        <f>D28+D41+D67+D79+D86+D93+D97+D102</f>
        <v>219618636.98999998</v>
      </c>
      <c r="E27" s="13">
        <f>E28+E41+E67+E79+E86+E93+E97+E102</f>
        <v>217692387.70999998</v>
      </c>
    </row>
    <row r="28" spans="1:5" s="4" customFormat="1" ht="93.75" x14ac:dyDescent="0.3">
      <c r="A28" s="16" t="s">
        <v>175</v>
      </c>
      <c r="B28" s="17" t="s">
        <v>1</v>
      </c>
      <c r="C28" s="17"/>
      <c r="D28" s="13">
        <f t="shared" ref="D28:E28" si="0">D29+D35+D38</f>
        <v>69764535.689999998</v>
      </c>
      <c r="E28" s="13">
        <f t="shared" si="0"/>
        <v>67485103.090000004</v>
      </c>
    </row>
    <row r="29" spans="1:5" s="3" customFormat="1" ht="54" customHeight="1" x14ac:dyDescent="0.3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 x14ac:dyDescent="0.3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 x14ac:dyDescent="0.3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 x14ac:dyDescent="0.3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 x14ac:dyDescent="0.3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 x14ac:dyDescent="0.3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 x14ac:dyDescent="0.3">
      <c r="A35" s="18" t="s">
        <v>5</v>
      </c>
      <c r="B35" s="19" t="s">
        <v>164</v>
      </c>
      <c r="C35" s="19"/>
      <c r="D35" s="14">
        <f>SUM(D36:D37)</f>
        <v>797370.05</v>
      </c>
      <c r="E35" s="14">
        <f>SUM(E36:E37)</f>
        <v>1300200</v>
      </c>
    </row>
    <row r="36" spans="1:5" ht="93" customHeight="1" x14ac:dyDescent="0.3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 x14ac:dyDescent="0.3">
      <c r="A37" s="20" t="s">
        <v>506</v>
      </c>
      <c r="B37" s="12" t="s">
        <v>505</v>
      </c>
      <c r="C37" s="12">
        <v>600</v>
      </c>
      <c r="D37" s="33">
        <f>810000-502829.95</f>
        <v>307170.05</v>
      </c>
      <c r="E37" s="33">
        <v>810000</v>
      </c>
    </row>
    <row r="38" spans="1:5" s="3" customFormat="1" ht="68.25" customHeight="1" x14ac:dyDescent="0.3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 x14ac:dyDescent="0.3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 x14ac:dyDescent="0.3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 x14ac:dyDescent="0.3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 x14ac:dyDescent="0.3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 x14ac:dyDescent="0.3">
      <c r="A43" s="20" t="s">
        <v>184</v>
      </c>
      <c r="B43" s="12" t="s">
        <v>12</v>
      </c>
      <c r="C43" s="12">
        <v>100</v>
      </c>
      <c r="D43" s="33">
        <f>5656741.73+928069.35-454845.88</f>
        <v>6129965.2000000002</v>
      </c>
      <c r="E43" s="33">
        <f>5656741.73-454845.88</f>
        <v>5201895.8500000006</v>
      </c>
    </row>
    <row r="44" spans="1:5" ht="132.75" customHeight="1" x14ac:dyDescent="0.3">
      <c r="A44" s="20" t="s">
        <v>185</v>
      </c>
      <c r="B44" s="12" t="s">
        <v>12</v>
      </c>
      <c r="C44" s="12">
        <v>200</v>
      </c>
      <c r="D44" s="33">
        <f>11392100-500832.98-29.71-2017900</f>
        <v>8873337.3099999987</v>
      </c>
      <c r="E44" s="33">
        <f>11392100-1040864.95-524370.44-63.96-1957900</f>
        <v>7868900.6500000004</v>
      </c>
    </row>
    <row r="45" spans="1:5" ht="131.25" x14ac:dyDescent="0.3">
      <c r="A45" s="20" t="s">
        <v>145</v>
      </c>
      <c r="B45" s="12" t="s">
        <v>12</v>
      </c>
      <c r="C45" s="12">
        <v>600</v>
      </c>
      <c r="D45" s="33">
        <f>7187487.72+651932.06+2486345.88</f>
        <v>10325765.66</v>
      </c>
      <c r="E45" s="33">
        <f>7187487.72+651932.06+2426345.88</f>
        <v>10265765.66</v>
      </c>
    </row>
    <row r="46" spans="1:5" ht="123" customHeight="1" x14ac:dyDescent="0.3">
      <c r="A46" s="20" t="s">
        <v>186</v>
      </c>
      <c r="B46" s="12" t="s">
        <v>12</v>
      </c>
      <c r="C46" s="12">
        <v>800</v>
      </c>
      <c r="D46" s="33">
        <f>289900-13600</f>
        <v>276300</v>
      </c>
      <c r="E46" s="33">
        <f>289900-13600</f>
        <v>276300</v>
      </c>
    </row>
    <row r="47" spans="1:5" ht="204" customHeight="1" x14ac:dyDescent="0.3">
      <c r="A47" s="20" t="s">
        <v>567</v>
      </c>
      <c r="B47" s="30" t="s">
        <v>459</v>
      </c>
      <c r="C47" s="12">
        <v>100</v>
      </c>
      <c r="D47" s="33">
        <f>4452840+312480-1171800</f>
        <v>3593520</v>
      </c>
      <c r="E47" s="33">
        <f>4218480-1093680</f>
        <v>3124800</v>
      </c>
    </row>
    <row r="48" spans="1:5" ht="174" customHeight="1" x14ac:dyDescent="0.3">
      <c r="A48" s="20" t="s">
        <v>566</v>
      </c>
      <c r="B48" s="30" t="s">
        <v>459</v>
      </c>
      <c r="C48" s="12">
        <v>600</v>
      </c>
      <c r="D48" s="33">
        <f>3984120-78120+1171800</f>
        <v>5077800</v>
      </c>
      <c r="E48" s="33">
        <f>3906000+1093680</f>
        <v>4999680</v>
      </c>
    </row>
    <row r="49" spans="1:5" ht="279" customHeight="1" x14ac:dyDescent="0.3">
      <c r="A49" s="20" t="s">
        <v>546</v>
      </c>
      <c r="B49" s="30" t="s">
        <v>547</v>
      </c>
      <c r="C49" s="12">
        <v>100</v>
      </c>
      <c r="D49" s="33">
        <f>41030406.5-10301409</f>
        <v>30728997.5</v>
      </c>
      <c r="E49" s="33">
        <f>41030406.5-10301409</f>
        <v>30728997.5</v>
      </c>
    </row>
    <row r="50" spans="1:5" ht="243.75" customHeight="1" x14ac:dyDescent="0.3">
      <c r="A50" s="20" t="s">
        <v>548</v>
      </c>
      <c r="B50" s="30" t="s">
        <v>547</v>
      </c>
      <c r="C50" s="12">
        <v>200</v>
      </c>
      <c r="D50" s="33">
        <f>829642-367200</f>
        <v>462442</v>
      </c>
      <c r="E50" s="33">
        <f>829642-367200</f>
        <v>462442</v>
      </c>
    </row>
    <row r="51" spans="1:5" ht="243.75" customHeight="1" x14ac:dyDescent="0.3">
      <c r="A51" s="20" t="s">
        <v>549</v>
      </c>
      <c r="B51" s="30" t="s">
        <v>547</v>
      </c>
      <c r="C51" s="12">
        <v>600</v>
      </c>
      <c r="D51" s="33">
        <f>39117789.5+10668609</f>
        <v>49786398.5</v>
      </c>
      <c r="E51" s="33">
        <f>39117789.5+10668609</f>
        <v>49786398.5</v>
      </c>
    </row>
    <row r="52" spans="1:5" s="3" customFormat="1" ht="53.25" customHeight="1" x14ac:dyDescent="0.3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 x14ac:dyDescent="0.3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 x14ac:dyDescent="0.3">
      <c r="A54" s="20" t="s">
        <v>152</v>
      </c>
      <c r="B54" s="12" t="s">
        <v>15</v>
      </c>
      <c r="C54" s="12">
        <v>200</v>
      </c>
      <c r="D54" s="33">
        <f>553200-110000</f>
        <v>443200</v>
      </c>
      <c r="E54" s="33">
        <f>553200-110000</f>
        <v>443200</v>
      </c>
    </row>
    <row r="55" spans="1:5" ht="102.75" customHeight="1" x14ac:dyDescent="0.3">
      <c r="A55" s="20" t="s">
        <v>147</v>
      </c>
      <c r="B55" s="12" t="s">
        <v>15</v>
      </c>
      <c r="C55" s="12">
        <v>600</v>
      </c>
      <c r="D55" s="33">
        <f>305000+110000</f>
        <v>415000</v>
      </c>
      <c r="E55" s="33">
        <f>305000+110000</f>
        <v>415000</v>
      </c>
    </row>
    <row r="56" spans="1:5" ht="102.75" customHeight="1" x14ac:dyDescent="0.3">
      <c r="A56" s="11" t="s">
        <v>507</v>
      </c>
      <c r="B56" s="12" t="s">
        <v>433</v>
      </c>
      <c r="C56" s="12">
        <v>200</v>
      </c>
      <c r="D56" s="33">
        <f>260000-91500</f>
        <v>168500</v>
      </c>
      <c r="E56" s="33">
        <f>260000-91500</f>
        <v>168500</v>
      </c>
    </row>
    <row r="57" spans="1:5" ht="105" customHeight="1" x14ac:dyDescent="0.3">
      <c r="A57" s="11" t="s">
        <v>445</v>
      </c>
      <c r="B57" s="12" t="s">
        <v>433</v>
      </c>
      <c r="C57" s="12">
        <v>600</v>
      </c>
      <c r="D57" s="33">
        <f>553122.17+91500</f>
        <v>644622.17000000004</v>
      </c>
      <c r="E57" s="33">
        <f>553122.17+91500</f>
        <v>644622.17000000004</v>
      </c>
    </row>
    <row r="58" spans="1:5" ht="105" customHeight="1" x14ac:dyDescent="0.3">
      <c r="A58" s="11" t="s">
        <v>509</v>
      </c>
      <c r="B58" s="12" t="s">
        <v>508</v>
      </c>
      <c r="C58" s="12">
        <v>200</v>
      </c>
      <c r="D58" s="33">
        <f>120000-120000</f>
        <v>0</v>
      </c>
      <c r="E58" s="33">
        <f>120000-120000</f>
        <v>0</v>
      </c>
    </row>
    <row r="59" spans="1:5" ht="105" customHeight="1" x14ac:dyDescent="0.3">
      <c r="A59" s="11" t="s">
        <v>510</v>
      </c>
      <c r="B59" s="12" t="s">
        <v>508</v>
      </c>
      <c r="C59" s="12">
        <v>600</v>
      </c>
      <c r="D59" s="33">
        <f>710000+120000</f>
        <v>830000</v>
      </c>
      <c r="E59" s="33">
        <f>710000+120000</f>
        <v>830000</v>
      </c>
    </row>
    <row r="60" spans="1:5" ht="135.75" customHeight="1" x14ac:dyDescent="0.3">
      <c r="A60" s="11" t="s">
        <v>512</v>
      </c>
      <c r="B60" s="12" t="s">
        <v>511</v>
      </c>
      <c r="C60" s="12">
        <v>200</v>
      </c>
      <c r="D60" s="33">
        <f>94171-75000</f>
        <v>19171</v>
      </c>
      <c r="E60" s="33">
        <f>94171-75000</f>
        <v>19171</v>
      </c>
    </row>
    <row r="61" spans="1:5" ht="132.75" customHeight="1" x14ac:dyDescent="0.3">
      <c r="A61" s="11" t="s">
        <v>513</v>
      </c>
      <c r="B61" s="12" t="s">
        <v>511</v>
      </c>
      <c r="C61" s="12">
        <v>600</v>
      </c>
      <c r="D61" s="33">
        <f>376684+75000</f>
        <v>451684</v>
      </c>
      <c r="E61" s="33">
        <f>376684+75000</f>
        <v>451684</v>
      </c>
    </row>
    <row r="62" spans="1:5" ht="161.25" customHeight="1" x14ac:dyDescent="0.3">
      <c r="A62" s="11" t="s">
        <v>579</v>
      </c>
      <c r="B62" s="12" t="s">
        <v>475</v>
      </c>
      <c r="C62" s="12">
        <v>200</v>
      </c>
      <c r="D62" s="33">
        <f>3031436.7+2143.44+59980.2+42.41-2196792.29</f>
        <v>896810.46000000043</v>
      </c>
      <c r="E62" s="33">
        <f>2143.44+3178246.5+103.81-2258494.29</f>
        <v>921999.46</v>
      </c>
    </row>
    <row r="63" spans="1:5" ht="171.75" customHeight="1" x14ac:dyDescent="0.3">
      <c r="A63" s="11" t="s">
        <v>580</v>
      </c>
      <c r="B63" s="12" t="s">
        <v>475</v>
      </c>
      <c r="C63" s="12">
        <v>600</v>
      </c>
      <c r="D63" s="33">
        <f>4766306.1+3370.12+47696.25+4.01+29.71+2196792.29</f>
        <v>7014198.4799999995</v>
      </c>
      <c r="E63" s="33">
        <f>3370.12+4949214.75+65.36+63.96+2258494.29</f>
        <v>7211208.4800000004</v>
      </c>
    </row>
    <row r="64" spans="1:5" ht="42" customHeight="1" x14ac:dyDescent="0.3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 x14ac:dyDescent="0.3">
      <c r="A65" s="11" t="s">
        <v>556</v>
      </c>
      <c r="B65" s="12" t="s">
        <v>555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 x14ac:dyDescent="0.3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 x14ac:dyDescent="0.3">
      <c r="A67" s="16" t="s">
        <v>17</v>
      </c>
      <c r="B67" s="17" t="s">
        <v>16</v>
      </c>
      <c r="C67" s="17"/>
      <c r="D67" s="13">
        <f>D68+D71+D73+D76</f>
        <v>9533798.4199999981</v>
      </c>
      <c r="E67" s="13">
        <f>E68+E71+E73+E76</f>
        <v>9533798.4199999999</v>
      </c>
    </row>
    <row r="68" spans="1:5" ht="54" customHeight="1" x14ac:dyDescent="0.3">
      <c r="A68" s="18" t="s">
        <v>19</v>
      </c>
      <c r="B68" s="19" t="s">
        <v>18</v>
      </c>
      <c r="C68" s="19"/>
      <c r="D68" s="14">
        <f>SUM(D69:D70)</f>
        <v>4251188.419999999</v>
      </c>
      <c r="E68" s="14">
        <f>SUM(E69:E70)</f>
        <v>9382198.4199999999</v>
      </c>
    </row>
    <row r="69" spans="1:5" ht="89.25" customHeight="1" x14ac:dyDescent="0.3">
      <c r="A69" s="20" t="s">
        <v>148</v>
      </c>
      <c r="B69" s="12" t="s">
        <v>20</v>
      </c>
      <c r="C69" s="12">
        <v>600</v>
      </c>
      <c r="D69" s="33">
        <f>9366400.53-3400580-1730430</f>
        <v>4235390.5299999993</v>
      </c>
      <c r="E69" s="33">
        <v>9366400.5299999993</v>
      </c>
    </row>
    <row r="70" spans="1:5" ht="135" customHeight="1" x14ac:dyDescent="0.3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 x14ac:dyDescent="0.3">
      <c r="A71" s="18" t="s">
        <v>370</v>
      </c>
      <c r="B71" s="19" t="s">
        <v>371</v>
      </c>
      <c r="C71" s="19"/>
      <c r="D71" s="14">
        <f>SUM(D72:D75)</f>
        <v>3552180</v>
      </c>
      <c r="E71" s="14">
        <f>SUM(E72:E75)</f>
        <v>151600</v>
      </c>
    </row>
    <row r="72" spans="1:5" ht="93.75" x14ac:dyDescent="0.3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 x14ac:dyDescent="0.3">
      <c r="A73" s="21" t="s">
        <v>448</v>
      </c>
      <c r="B73" s="19" t="s">
        <v>488</v>
      </c>
      <c r="C73" s="17"/>
      <c r="D73" s="14">
        <f t="shared" ref="D73:E73" si="2">D74</f>
        <v>0</v>
      </c>
      <c r="E73" s="14">
        <f t="shared" si="2"/>
        <v>0</v>
      </c>
    </row>
    <row r="74" spans="1:5" ht="93.75" hidden="1" x14ac:dyDescent="0.3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ht="93.75" x14ac:dyDescent="0.3">
      <c r="A75" s="20" t="s">
        <v>587</v>
      </c>
      <c r="B75" s="12" t="s">
        <v>586</v>
      </c>
      <c r="C75" s="12">
        <v>600</v>
      </c>
      <c r="D75" s="33">
        <v>3400580</v>
      </c>
      <c r="E75" s="33">
        <v>0</v>
      </c>
    </row>
    <row r="76" spans="1:5" ht="75" x14ac:dyDescent="0.3">
      <c r="A76" s="18" t="s">
        <v>601</v>
      </c>
      <c r="B76" s="19" t="s">
        <v>602</v>
      </c>
      <c r="C76" s="19"/>
      <c r="D76" s="34">
        <f>SUM(D77:D78)</f>
        <v>1730430</v>
      </c>
      <c r="E76" s="34">
        <f>SUM(E77:E78)</f>
        <v>0</v>
      </c>
    </row>
    <row r="77" spans="1:5" ht="93.75" x14ac:dyDescent="0.3">
      <c r="A77" s="20" t="s">
        <v>603</v>
      </c>
      <c r="B77" s="12" t="s">
        <v>604</v>
      </c>
      <c r="C77" s="12">
        <v>600</v>
      </c>
      <c r="D77" s="33">
        <v>1715520.56</v>
      </c>
      <c r="E77" s="33">
        <v>0</v>
      </c>
    </row>
    <row r="78" spans="1:5" ht="75" x14ac:dyDescent="0.3">
      <c r="A78" s="20" t="s">
        <v>605</v>
      </c>
      <c r="B78" s="12" t="s">
        <v>604</v>
      </c>
      <c r="C78" s="12">
        <v>800</v>
      </c>
      <c r="D78" s="33">
        <v>14909.44</v>
      </c>
      <c r="E78" s="33">
        <v>0</v>
      </c>
    </row>
    <row r="79" spans="1:5" s="4" customFormat="1" ht="48" customHeight="1" x14ac:dyDescent="0.3">
      <c r="A79" s="16" t="s">
        <v>22</v>
      </c>
      <c r="B79" s="17" t="s">
        <v>21</v>
      </c>
      <c r="C79" s="17"/>
      <c r="D79" s="13">
        <f t="shared" ref="D79:E79" si="3">D80+D84</f>
        <v>847568</v>
      </c>
      <c r="E79" s="13">
        <f t="shared" si="3"/>
        <v>847568</v>
      </c>
    </row>
    <row r="80" spans="1:5" s="3" customFormat="1" ht="51.75" customHeight="1" x14ac:dyDescent="0.3">
      <c r="A80" s="18" t="s">
        <v>171</v>
      </c>
      <c r="B80" s="19" t="s">
        <v>23</v>
      </c>
      <c r="C80" s="19"/>
      <c r="D80" s="14">
        <f>SUM(D81:D83)</f>
        <v>795488</v>
      </c>
      <c r="E80" s="14">
        <f>SUM(E81:E83)</f>
        <v>795488</v>
      </c>
    </row>
    <row r="81" spans="1:5" ht="75" x14ac:dyDescent="0.3">
      <c r="A81" s="20" t="s">
        <v>434</v>
      </c>
      <c r="B81" s="12" t="s">
        <v>25</v>
      </c>
      <c r="C81" s="12">
        <v>600</v>
      </c>
      <c r="D81" s="33">
        <v>22100</v>
      </c>
      <c r="E81" s="33">
        <v>22100</v>
      </c>
    </row>
    <row r="82" spans="1:5" s="4" customFormat="1" ht="93.75" x14ac:dyDescent="0.3">
      <c r="A82" s="20" t="s">
        <v>431</v>
      </c>
      <c r="B82" s="12" t="s">
        <v>24</v>
      </c>
      <c r="C82" s="12">
        <v>200</v>
      </c>
      <c r="D82" s="33">
        <f>135408+54684-138012</f>
        <v>52080</v>
      </c>
      <c r="E82" s="33">
        <f>135408+54684-138012</f>
        <v>52080</v>
      </c>
    </row>
    <row r="83" spans="1:5" s="3" customFormat="1" ht="93.75" x14ac:dyDescent="0.3">
      <c r="A83" s="20" t="s">
        <v>432</v>
      </c>
      <c r="B83" s="12" t="s">
        <v>24</v>
      </c>
      <c r="C83" s="12">
        <v>600</v>
      </c>
      <c r="D83" s="33">
        <f>411432+171864+138012</f>
        <v>721308</v>
      </c>
      <c r="E83" s="33">
        <f>411432+171864+138012</f>
        <v>721308</v>
      </c>
    </row>
    <row r="84" spans="1:5" ht="50.25" customHeight="1" x14ac:dyDescent="0.3">
      <c r="A84" s="18" t="s">
        <v>166</v>
      </c>
      <c r="B84" s="19" t="s">
        <v>26</v>
      </c>
      <c r="C84" s="19"/>
      <c r="D84" s="14">
        <f t="shared" ref="D84:E84" si="4">D85</f>
        <v>52080</v>
      </c>
      <c r="E84" s="14">
        <f t="shared" si="4"/>
        <v>52080</v>
      </c>
    </row>
    <row r="85" spans="1:5" ht="120.75" customHeight="1" x14ac:dyDescent="0.3">
      <c r="A85" s="20" t="s">
        <v>167</v>
      </c>
      <c r="B85" s="12" t="s">
        <v>27</v>
      </c>
      <c r="C85" s="12">
        <v>200</v>
      </c>
      <c r="D85" s="33">
        <v>52080</v>
      </c>
      <c r="E85" s="33">
        <v>52080</v>
      </c>
    </row>
    <row r="86" spans="1:5" ht="31.5" customHeight="1" x14ac:dyDescent="0.3">
      <c r="A86" s="16" t="s">
        <v>187</v>
      </c>
      <c r="B86" s="17" t="s">
        <v>28</v>
      </c>
      <c r="C86" s="17"/>
      <c r="D86" s="13">
        <f t="shared" ref="D86:E86" si="5">D87</f>
        <v>139590</v>
      </c>
      <c r="E86" s="13">
        <f t="shared" si="5"/>
        <v>139590</v>
      </c>
    </row>
    <row r="87" spans="1:5" ht="45" customHeight="1" x14ac:dyDescent="0.3">
      <c r="A87" s="18" t="s">
        <v>188</v>
      </c>
      <c r="B87" s="19" t="s">
        <v>29</v>
      </c>
      <c r="C87" s="19"/>
      <c r="D87" s="14">
        <f>SUM(D88:D92)</f>
        <v>139590</v>
      </c>
      <c r="E87" s="14">
        <f t="shared" ref="E87" si="6">SUM(E88:E92)</f>
        <v>139590</v>
      </c>
    </row>
    <row r="88" spans="1:5" s="3" customFormat="1" ht="146.25" customHeight="1" x14ac:dyDescent="0.3">
      <c r="A88" s="20" t="s">
        <v>189</v>
      </c>
      <c r="B88" s="12" t="s">
        <v>30</v>
      </c>
      <c r="C88" s="12">
        <v>200</v>
      </c>
      <c r="D88" s="33">
        <v>19590</v>
      </c>
      <c r="E88" s="33">
        <v>19590</v>
      </c>
    </row>
    <row r="89" spans="1:5" ht="146.25" customHeight="1" x14ac:dyDescent="0.3">
      <c r="A89" s="20" t="s">
        <v>381</v>
      </c>
      <c r="B89" s="12" t="s">
        <v>30</v>
      </c>
      <c r="C89" s="12">
        <v>600</v>
      </c>
      <c r="D89" s="33">
        <f>65000</f>
        <v>65000</v>
      </c>
      <c r="E89" s="33">
        <v>65000</v>
      </c>
    </row>
    <row r="90" spans="1:5" s="4" customFormat="1" ht="124.5" customHeight="1" x14ac:dyDescent="0.3">
      <c r="A90" s="20" t="s">
        <v>190</v>
      </c>
      <c r="B90" s="12" t="s">
        <v>31</v>
      </c>
      <c r="C90" s="12">
        <v>200</v>
      </c>
      <c r="D90" s="33">
        <v>23000</v>
      </c>
      <c r="E90" s="33">
        <v>23000</v>
      </c>
    </row>
    <row r="91" spans="1:5" s="4" customFormat="1" ht="124.5" customHeight="1" x14ac:dyDescent="0.3">
      <c r="A91" s="20" t="s">
        <v>344</v>
      </c>
      <c r="B91" s="12" t="s">
        <v>31</v>
      </c>
      <c r="C91" s="12">
        <v>600</v>
      </c>
      <c r="D91" s="33">
        <v>22000</v>
      </c>
      <c r="E91" s="33">
        <v>22000</v>
      </c>
    </row>
    <row r="92" spans="1:5" s="4" customFormat="1" ht="93.75" customHeight="1" x14ac:dyDescent="0.3">
      <c r="A92" s="20" t="s">
        <v>382</v>
      </c>
      <c r="B92" s="12" t="s">
        <v>377</v>
      </c>
      <c r="C92" s="12">
        <v>600</v>
      </c>
      <c r="D92" s="33">
        <v>10000</v>
      </c>
      <c r="E92" s="33">
        <v>10000</v>
      </c>
    </row>
    <row r="93" spans="1:5" s="3" customFormat="1" ht="49.5" customHeight="1" x14ac:dyDescent="0.3">
      <c r="A93" s="22" t="s">
        <v>33</v>
      </c>
      <c r="B93" s="17" t="s">
        <v>32</v>
      </c>
      <c r="C93" s="17"/>
      <c r="D93" s="13">
        <f t="shared" ref="D93:E93" si="7">D94</f>
        <v>50000</v>
      </c>
      <c r="E93" s="13">
        <f t="shared" si="7"/>
        <v>50000</v>
      </c>
    </row>
    <row r="94" spans="1:5" ht="53.25" customHeight="1" x14ac:dyDescent="0.3">
      <c r="A94" s="18" t="s">
        <v>35</v>
      </c>
      <c r="B94" s="19" t="s">
        <v>34</v>
      </c>
      <c r="C94" s="19"/>
      <c r="D94" s="14">
        <f t="shared" ref="D94:E94" si="8">SUM(D95:D96)</f>
        <v>50000</v>
      </c>
      <c r="E94" s="14">
        <f t="shared" si="8"/>
        <v>50000</v>
      </c>
    </row>
    <row r="95" spans="1:5" ht="144" customHeight="1" x14ac:dyDescent="0.3">
      <c r="A95" s="20" t="s">
        <v>153</v>
      </c>
      <c r="B95" s="12" t="s">
        <v>36</v>
      </c>
      <c r="C95" s="12">
        <v>200</v>
      </c>
      <c r="D95" s="33">
        <v>30000</v>
      </c>
      <c r="E95" s="33">
        <v>30000</v>
      </c>
    </row>
    <row r="96" spans="1:5" ht="144" customHeight="1" x14ac:dyDescent="0.3">
      <c r="A96" s="20" t="s">
        <v>150</v>
      </c>
      <c r="B96" s="12" t="s">
        <v>36</v>
      </c>
      <c r="C96" s="12">
        <v>600</v>
      </c>
      <c r="D96" s="33">
        <v>20000</v>
      </c>
      <c r="E96" s="33">
        <v>20000</v>
      </c>
    </row>
    <row r="97" spans="1:5" ht="84.75" customHeight="1" x14ac:dyDescent="0.3">
      <c r="A97" s="16" t="s">
        <v>191</v>
      </c>
      <c r="B97" s="17" t="s">
        <v>37</v>
      </c>
      <c r="C97" s="17"/>
      <c r="D97" s="13">
        <f t="shared" ref="D97:E97" si="9">D98</f>
        <v>9453646.4399999995</v>
      </c>
      <c r="E97" s="13">
        <f t="shared" si="9"/>
        <v>9453646.4399999995</v>
      </c>
    </row>
    <row r="98" spans="1:5" s="4" customFormat="1" ht="82.5" customHeight="1" x14ac:dyDescent="0.3">
      <c r="A98" s="18" t="s">
        <v>349</v>
      </c>
      <c r="B98" s="19" t="s">
        <v>38</v>
      </c>
      <c r="C98" s="19"/>
      <c r="D98" s="14">
        <f t="shared" ref="D98:E98" si="10">SUM(D99:D101)</f>
        <v>9453646.4399999995</v>
      </c>
      <c r="E98" s="14">
        <f t="shared" si="10"/>
        <v>9453646.4399999995</v>
      </c>
    </row>
    <row r="99" spans="1:5" s="3" customFormat="1" ht="112.5" x14ac:dyDescent="0.3">
      <c r="A99" s="20" t="s">
        <v>137</v>
      </c>
      <c r="B99" s="12" t="s">
        <v>39</v>
      </c>
      <c r="C99" s="12">
        <v>100</v>
      </c>
      <c r="D99" s="33">
        <f>6901253+1352689.94</f>
        <v>8253942.9399999995</v>
      </c>
      <c r="E99" s="33">
        <f>6901253+1352689.94</f>
        <v>8253942.9399999995</v>
      </c>
    </row>
    <row r="100" spans="1:5" ht="71.25" customHeight="1" x14ac:dyDescent="0.3">
      <c r="A100" s="20" t="s">
        <v>192</v>
      </c>
      <c r="B100" s="12" t="s">
        <v>39</v>
      </c>
      <c r="C100" s="12">
        <v>200</v>
      </c>
      <c r="D100" s="33">
        <v>1177203.5</v>
      </c>
      <c r="E100" s="33">
        <v>1177203.5</v>
      </c>
    </row>
    <row r="101" spans="1:5" ht="37.5" x14ac:dyDescent="0.3">
      <c r="A101" s="20" t="s">
        <v>193</v>
      </c>
      <c r="B101" s="12" t="s">
        <v>39</v>
      </c>
      <c r="C101" s="12">
        <v>800</v>
      </c>
      <c r="D101" s="33">
        <v>22500</v>
      </c>
      <c r="E101" s="33">
        <v>22500</v>
      </c>
    </row>
    <row r="102" spans="1:5" ht="75" x14ac:dyDescent="0.3">
      <c r="A102" s="16" t="s">
        <v>450</v>
      </c>
      <c r="B102" s="17" t="s">
        <v>451</v>
      </c>
      <c r="C102" s="17"/>
      <c r="D102" s="13">
        <f t="shared" ref="D102:E103" si="11">D103</f>
        <v>15000</v>
      </c>
      <c r="E102" s="13">
        <f t="shared" si="11"/>
        <v>15000</v>
      </c>
    </row>
    <row r="103" spans="1:5" ht="75" x14ac:dyDescent="0.3">
      <c r="A103" s="18" t="s">
        <v>452</v>
      </c>
      <c r="B103" s="19" t="s">
        <v>453</v>
      </c>
      <c r="C103" s="19"/>
      <c r="D103" s="14">
        <f t="shared" si="11"/>
        <v>15000</v>
      </c>
      <c r="E103" s="14">
        <f t="shared" si="11"/>
        <v>15000</v>
      </c>
    </row>
    <row r="104" spans="1:5" ht="75" x14ac:dyDescent="0.3">
      <c r="A104" s="20" t="s">
        <v>455</v>
      </c>
      <c r="B104" s="12" t="s">
        <v>454</v>
      </c>
      <c r="C104" s="12">
        <v>200</v>
      </c>
      <c r="D104" s="33">
        <v>15000</v>
      </c>
      <c r="E104" s="33">
        <v>15000</v>
      </c>
    </row>
    <row r="105" spans="1:5" s="4" customFormat="1" ht="81.75" customHeight="1" x14ac:dyDescent="0.3">
      <c r="A105" s="16" t="s">
        <v>416</v>
      </c>
      <c r="B105" s="17" t="s">
        <v>40</v>
      </c>
      <c r="C105" s="17"/>
      <c r="D105" s="13">
        <f>D106+D111+D117+D125+D146+D155+D159+D120</f>
        <v>15385000.92</v>
      </c>
      <c r="E105" s="13">
        <f>E106+E111+E117+E125+E146+E155+E159+E120</f>
        <v>12386427.24</v>
      </c>
    </row>
    <row r="106" spans="1:5" s="3" customFormat="1" ht="53.25" customHeight="1" x14ac:dyDescent="0.3">
      <c r="A106" s="16" t="s">
        <v>194</v>
      </c>
      <c r="B106" s="17" t="s">
        <v>41</v>
      </c>
      <c r="C106" s="17"/>
      <c r="D106" s="13">
        <f t="shared" ref="D106:E106" si="12">D107</f>
        <v>4380979</v>
      </c>
      <c r="E106" s="13">
        <f t="shared" si="12"/>
        <v>4380979</v>
      </c>
    </row>
    <row r="107" spans="1:5" s="4" customFormat="1" ht="105.75" customHeight="1" x14ac:dyDescent="0.3">
      <c r="A107" s="21" t="s">
        <v>230</v>
      </c>
      <c r="B107" s="19" t="s">
        <v>231</v>
      </c>
      <c r="C107" s="19"/>
      <c r="D107" s="14">
        <f>SUM(D108:D110)</f>
        <v>4380979</v>
      </c>
      <c r="E107" s="14">
        <f>SUM(E108:E110)</f>
        <v>4380979</v>
      </c>
    </row>
    <row r="108" spans="1:5" s="4" customFormat="1" ht="111.75" customHeight="1" x14ac:dyDescent="0.3">
      <c r="A108" s="20" t="s">
        <v>461</v>
      </c>
      <c r="B108" s="12" t="s">
        <v>463</v>
      </c>
      <c r="C108" s="12">
        <v>500</v>
      </c>
      <c r="D108" s="33">
        <v>1025066.51</v>
      </c>
      <c r="E108" s="33">
        <v>1025066.51</v>
      </c>
    </row>
    <row r="109" spans="1:5" s="4" customFormat="1" ht="143.25" customHeight="1" x14ac:dyDescent="0.3">
      <c r="A109" s="20" t="s">
        <v>557</v>
      </c>
      <c r="B109" s="12" t="s">
        <v>558</v>
      </c>
      <c r="C109" s="12">
        <v>500</v>
      </c>
      <c r="D109" s="33">
        <v>3109098.55</v>
      </c>
      <c r="E109" s="33">
        <v>3109098.55</v>
      </c>
    </row>
    <row r="110" spans="1:5" s="3" customFormat="1" ht="66.75" customHeight="1" x14ac:dyDescent="0.3">
      <c r="A110" s="20" t="s">
        <v>472</v>
      </c>
      <c r="B110" s="12" t="s">
        <v>345</v>
      </c>
      <c r="C110" s="12">
        <v>200</v>
      </c>
      <c r="D110" s="33">
        <v>246813.94</v>
      </c>
      <c r="E110" s="33">
        <v>246813.94</v>
      </c>
    </row>
    <row r="111" spans="1:5" ht="65.25" customHeight="1" x14ac:dyDescent="0.3">
      <c r="A111" s="16" t="s">
        <v>195</v>
      </c>
      <c r="B111" s="17" t="s">
        <v>42</v>
      </c>
      <c r="C111" s="17"/>
      <c r="D111" s="13">
        <f t="shared" ref="D111:E111" si="13">D112</f>
        <v>254021</v>
      </c>
      <c r="E111" s="13">
        <f t="shared" si="13"/>
        <v>254021</v>
      </c>
    </row>
    <row r="112" spans="1:5" ht="50.25" customHeight="1" x14ac:dyDescent="0.3">
      <c r="A112" s="18" t="s">
        <v>196</v>
      </c>
      <c r="B112" s="19" t="s">
        <v>43</v>
      </c>
      <c r="C112" s="19"/>
      <c r="D112" s="14">
        <f t="shared" ref="D112:E112" si="14">SUM(D113:D116)</f>
        <v>254021</v>
      </c>
      <c r="E112" s="14">
        <f t="shared" si="14"/>
        <v>254021</v>
      </c>
    </row>
    <row r="113" spans="1:5" s="3" customFormat="1" ht="87.75" customHeight="1" x14ac:dyDescent="0.3">
      <c r="A113" s="20" t="s">
        <v>232</v>
      </c>
      <c r="B113" s="12" t="s">
        <v>44</v>
      </c>
      <c r="C113" s="12">
        <v>200</v>
      </c>
      <c r="D113" s="33">
        <v>184021</v>
      </c>
      <c r="E113" s="33">
        <v>184021</v>
      </c>
    </row>
    <row r="114" spans="1:5" ht="145.5" customHeight="1" x14ac:dyDescent="0.3">
      <c r="A114" s="20" t="s">
        <v>336</v>
      </c>
      <c r="B114" s="12" t="s">
        <v>45</v>
      </c>
      <c r="C114" s="12">
        <v>200</v>
      </c>
      <c r="D114" s="33">
        <v>20000</v>
      </c>
      <c r="E114" s="33">
        <v>20000</v>
      </c>
    </row>
    <row r="115" spans="1:5" ht="143.25" customHeight="1" x14ac:dyDescent="0.3">
      <c r="A115" s="20" t="s">
        <v>337</v>
      </c>
      <c r="B115" s="12" t="s">
        <v>45</v>
      </c>
      <c r="C115" s="12">
        <v>600</v>
      </c>
      <c r="D115" s="33">
        <v>20000</v>
      </c>
      <c r="E115" s="33">
        <v>20000</v>
      </c>
    </row>
    <row r="116" spans="1:5" s="4" customFormat="1" ht="87.75" customHeight="1" x14ac:dyDescent="0.3">
      <c r="A116" s="20" t="s">
        <v>233</v>
      </c>
      <c r="B116" s="12" t="s">
        <v>234</v>
      </c>
      <c r="C116" s="12">
        <v>200</v>
      </c>
      <c r="D116" s="33">
        <v>30000</v>
      </c>
      <c r="E116" s="33">
        <v>30000</v>
      </c>
    </row>
    <row r="117" spans="1:5" s="3" customFormat="1" ht="109.5" customHeight="1" x14ac:dyDescent="0.3">
      <c r="A117" s="23" t="s">
        <v>486</v>
      </c>
      <c r="B117" s="17" t="s">
        <v>46</v>
      </c>
      <c r="C117" s="17"/>
      <c r="D117" s="13">
        <f t="shared" ref="D117:E117" si="15">D118</f>
        <v>2957078.3</v>
      </c>
      <c r="E117" s="13">
        <f t="shared" si="15"/>
        <v>0</v>
      </c>
    </row>
    <row r="118" spans="1:5" ht="66.75" customHeight="1" x14ac:dyDescent="0.3">
      <c r="A118" s="18" t="s">
        <v>48</v>
      </c>
      <c r="B118" s="19" t="s">
        <v>47</v>
      </c>
      <c r="C118" s="19"/>
      <c r="D118" s="14">
        <f t="shared" ref="D118:E118" si="16">SUM(D119:D119)</f>
        <v>2957078.3</v>
      </c>
      <c r="E118" s="14">
        <f t="shared" si="16"/>
        <v>0</v>
      </c>
    </row>
    <row r="119" spans="1:5" ht="112.5" x14ac:dyDescent="0.3">
      <c r="A119" s="11" t="s">
        <v>429</v>
      </c>
      <c r="B119" s="12" t="s">
        <v>430</v>
      </c>
      <c r="C119" s="12">
        <v>200</v>
      </c>
      <c r="D119" s="33">
        <f>2495743.73+461334.57</f>
        <v>2957078.3</v>
      </c>
      <c r="E119" s="33">
        <f>2495743.73-2495743.73</f>
        <v>0</v>
      </c>
    </row>
    <row r="120" spans="1:5" ht="37.5" x14ac:dyDescent="0.3">
      <c r="A120" s="23" t="s">
        <v>518</v>
      </c>
      <c r="B120" s="17" t="s">
        <v>514</v>
      </c>
      <c r="C120" s="17"/>
      <c r="D120" s="32">
        <f>D121</f>
        <v>0</v>
      </c>
      <c r="E120" s="32">
        <f>E121</f>
        <v>600000</v>
      </c>
    </row>
    <row r="121" spans="1:5" ht="37.5" x14ac:dyDescent="0.3">
      <c r="A121" s="21" t="s">
        <v>519</v>
      </c>
      <c r="B121" s="19" t="s">
        <v>515</v>
      </c>
      <c r="C121" s="19"/>
      <c r="D121" s="34">
        <f>SUM(D122:D123)</f>
        <v>0</v>
      </c>
      <c r="E121" s="34">
        <f>SUM(E122:E123)</f>
        <v>600000</v>
      </c>
    </row>
    <row r="122" spans="1:5" ht="56.25" x14ac:dyDescent="0.3">
      <c r="A122" s="11" t="s">
        <v>520</v>
      </c>
      <c r="B122" s="12" t="s">
        <v>516</v>
      </c>
      <c r="C122" s="12">
        <v>200</v>
      </c>
      <c r="D122" s="33">
        <f>300000-230667.29-69332.71</f>
        <v>0</v>
      </c>
      <c r="E122" s="33">
        <v>300000</v>
      </c>
    </row>
    <row r="123" spans="1:5" ht="93.75" x14ac:dyDescent="0.3">
      <c r="A123" s="11" t="s">
        <v>521</v>
      </c>
      <c r="B123" s="12" t="s">
        <v>517</v>
      </c>
      <c r="C123" s="12">
        <v>200</v>
      </c>
      <c r="D123" s="33">
        <f>300000-230667.28-69332.72</f>
        <v>0</v>
      </c>
      <c r="E123" s="33">
        <v>300000</v>
      </c>
    </row>
    <row r="124" spans="1:5" ht="37.5" hidden="1" x14ac:dyDescent="0.3">
      <c r="A124" s="16" t="s">
        <v>494</v>
      </c>
      <c r="B124" s="17" t="s">
        <v>495</v>
      </c>
      <c r="C124" s="17"/>
      <c r="D124" s="32">
        <v>0</v>
      </c>
      <c r="E124" s="32">
        <v>0</v>
      </c>
    </row>
    <row r="125" spans="1:5" s="4" customFormat="1" ht="75" x14ac:dyDescent="0.3">
      <c r="A125" s="23" t="s">
        <v>235</v>
      </c>
      <c r="B125" s="17" t="s">
        <v>236</v>
      </c>
      <c r="C125" s="12"/>
      <c r="D125" s="13">
        <f>D126+D131+D137+D141+D143+D127+D129</f>
        <v>2766836.7600000002</v>
      </c>
      <c r="E125" s="13">
        <f>E126+E131+E137+E141+E143+E127</f>
        <v>2125341.38</v>
      </c>
    </row>
    <row r="126" spans="1:5" s="3" customFormat="1" ht="37.5" hidden="1" x14ac:dyDescent="0.3">
      <c r="A126" s="21" t="s">
        <v>237</v>
      </c>
      <c r="B126" s="19" t="s">
        <v>238</v>
      </c>
      <c r="C126" s="12"/>
      <c r="D126" s="34"/>
      <c r="E126" s="34"/>
    </row>
    <row r="127" spans="1:5" s="3" customFormat="1" ht="37.5" x14ac:dyDescent="0.3">
      <c r="A127" s="21" t="s">
        <v>237</v>
      </c>
      <c r="B127" s="19" t="s">
        <v>238</v>
      </c>
      <c r="C127" s="12"/>
      <c r="D127" s="34">
        <f>D128</f>
        <v>1209192.33</v>
      </c>
      <c r="E127" s="34">
        <f>E128</f>
        <v>0</v>
      </c>
    </row>
    <row r="128" spans="1:5" s="3" customFormat="1" ht="93.75" x14ac:dyDescent="0.3">
      <c r="A128" s="11" t="s">
        <v>584</v>
      </c>
      <c r="B128" s="12" t="s">
        <v>585</v>
      </c>
      <c r="C128" s="12">
        <v>200</v>
      </c>
      <c r="D128" s="33">
        <v>1209192.33</v>
      </c>
      <c r="E128" s="33">
        <v>0</v>
      </c>
    </row>
    <row r="129" spans="1:5" s="3" customFormat="1" ht="37.5" x14ac:dyDescent="0.3">
      <c r="A129" s="21" t="s">
        <v>591</v>
      </c>
      <c r="B129" s="19" t="s">
        <v>589</v>
      </c>
      <c r="C129" s="19"/>
      <c r="D129" s="34">
        <f>D130</f>
        <v>54453.94</v>
      </c>
      <c r="E129" s="34">
        <f>E130</f>
        <v>0</v>
      </c>
    </row>
    <row r="130" spans="1:5" s="3" customFormat="1" ht="131.25" x14ac:dyDescent="0.3">
      <c r="A130" s="11" t="s">
        <v>592</v>
      </c>
      <c r="B130" s="12" t="s">
        <v>590</v>
      </c>
      <c r="C130" s="12">
        <v>200</v>
      </c>
      <c r="D130" s="33">
        <f>18557.27+35896.67</f>
        <v>54453.94</v>
      </c>
      <c r="E130" s="33">
        <v>0</v>
      </c>
    </row>
    <row r="131" spans="1:5" ht="50.25" customHeight="1" x14ac:dyDescent="0.3">
      <c r="A131" s="21" t="s">
        <v>239</v>
      </c>
      <c r="B131" s="19" t="s">
        <v>240</v>
      </c>
      <c r="C131" s="12"/>
      <c r="D131" s="14">
        <f>SUM(D132:D136)</f>
        <v>1242444.6100000001</v>
      </c>
      <c r="E131" s="14">
        <f>SUM(E132:E134)</f>
        <v>1303000</v>
      </c>
    </row>
    <row r="132" spans="1:5" ht="117" customHeight="1" x14ac:dyDescent="0.3">
      <c r="A132" s="11" t="s">
        <v>462</v>
      </c>
      <c r="B132" s="12" t="s">
        <v>464</v>
      </c>
      <c r="C132" s="12">
        <v>500</v>
      </c>
      <c r="D132" s="33">
        <v>400000</v>
      </c>
      <c r="E132" s="33">
        <v>400000</v>
      </c>
    </row>
    <row r="133" spans="1:5" ht="84.75" customHeight="1" x14ac:dyDescent="0.3">
      <c r="A133" s="11" t="s">
        <v>389</v>
      </c>
      <c r="B133" s="12" t="s">
        <v>435</v>
      </c>
      <c r="C133" s="12">
        <v>200</v>
      </c>
      <c r="D133" s="33">
        <v>488000</v>
      </c>
      <c r="E133" s="33">
        <v>488000</v>
      </c>
    </row>
    <row r="134" spans="1:5" ht="101.25" customHeight="1" x14ac:dyDescent="0.3">
      <c r="A134" s="11" t="s">
        <v>442</v>
      </c>
      <c r="B134" s="12" t="s">
        <v>436</v>
      </c>
      <c r="C134" s="12">
        <v>200</v>
      </c>
      <c r="D134" s="33">
        <f>415000-27566.56-35896.67</f>
        <v>351536.77</v>
      </c>
      <c r="E134" s="33">
        <v>415000</v>
      </c>
    </row>
    <row r="135" spans="1:5" ht="117.75" customHeight="1" x14ac:dyDescent="0.3">
      <c r="A135" s="11" t="s">
        <v>594</v>
      </c>
      <c r="B135" s="12" t="s">
        <v>593</v>
      </c>
      <c r="C135" s="12">
        <v>200</v>
      </c>
      <c r="D135" s="33">
        <v>671.04</v>
      </c>
      <c r="E135" s="33">
        <v>0</v>
      </c>
    </row>
    <row r="136" spans="1:5" ht="96.75" customHeight="1" x14ac:dyDescent="0.3">
      <c r="A136" s="11" t="s">
        <v>596</v>
      </c>
      <c r="B136" s="12" t="s">
        <v>595</v>
      </c>
      <c r="C136" s="12">
        <v>200</v>
      </c>
      <c r="D136" s="33">
        <v>2236.8000000000002</v>
      </c>
      <c r="E136" s="33">
        <v>0</v>
      </c>
    </row>
    <row r="137" spans="1:5" ht="46.5" customHeight="1" x14ac:dyDescent="0.3">
      <c r="A137" s="21" t="s">
        <v>241</v>
      </c>
      <c r="B137" s="19" t="s">
        <v>242</v>
      </c>
      <c r="C137" s="12"/>
      <c r="D137" s="14">
        <f>SUM(D138:D140)</f>
        <v>6101.4500000000007</v>
      </c>
      <c r="E137" s="14">
        <f t="shared" ref="E137" si="17">E138</f>
        <v>120000</v>
      </c>
    </row>
    <row r="138" spans="1:5" ht="70.5" customHeight="1" x14ac:dyDescent="0.3">
      <c r="A138" s="11" t="s">
        <v>243</v>
      </c>
      <c r="B138" s="12" t="s">
        <v>244</v>
      </c>
      <c r="C138" s="12">
        <v>200</v>
      </c>
      <c r="D138" s="33">
        <f>120000-120000</f>
        <v>0</v>
      </c>
      <c r="E138" s="33">
        <v>120000</v>
      </c>
    </row>
    <row r="139" spans="1:5" ht="124.5" customHeight="1" x14ac:dyDescent="0.3">
      <c r="A139" s="11" t="s">
        <v>598</v>
      </c>
      <c r="B139" s="12" t="s">
        <v>597</v>
      </c>
      <c r="C139" s="12">
        <v>200</v>
      </c>
      <c r="D139" s="33">
        <v>524.1</v>
      </c>
      <c r="E139" s="33">
        <v>0</v>
      </c>
    </row>
    <row r="140" spans="1:5" ht="92.25" customHeight="1" x14ac:dyDescent="0.3">
      <c r="A140" s="11" t="s">
        <v>600</v>
      </c>
      <c r="B140" s="12" t="s">
        <v>599</v>
      </c>
      <c r="C140" s="12">
        <v>200</v>
      </c>
      <c r="D140" s="33">
        <v>5577.35</v>
      </c>
      <c r="E140" s="33">
        <v>0</v>
      </c>
    </row>
    <row r="141" spans="1:5" s="4" customFormat="1" ht="64.5" customHeight="1" x14ac:dyDescent="0.3">
      <c r="A141" s="21" t="s">
        <v>325</v>
      </c>
      <c r="B141" s="19" t="s">
        <v>245</v>
      </c>
      <c r="C141" s="12"/>
      <c r="D141" s="14">
        <f t="shared" ref="D141:E141" si="18">D142</f>
        <v>14644.43</v>
      </c>
      <c r="E141" s="14">
        <f t="shared" si="18"/>
        <v>60000</v>
      </c>
    </row>
    <row r="142" spans="1:5" s="3" customFormat="1" ht="87" customHeight="1" x14ac:dyDescent="0.3">
      <c r="A142" s="11" t="s">
        <v>326</v>
      </c>
      <c r="B142" s="12" t="s">
        <v>246</v>
      </c>
      <c r="C142" s="12">
        <v>200</v>
      </c>
      <c r="D142" s="33">
        <f>60000-45355.57</f>
        <v>14644.43</v>
      </c>
      <c r="E142" s="33">
        <v>60000</v>
      </c>
    </row>
    <row r="143" spans="1:5" s="3" customFormat="1" ht="54.75" customHeight="1" x14ac:dyDescent="0.3">
      <c r="A143" s="21" t="s">
        <v>353</v>
      </c>
      <c r="B143" s="19" t="s">
        <v>351</v>
      </c>
      <c r="C143" s="19"/>
      <c r="D143" s="14">
        <f>SUM(D144:D145)</f>
        <v>240000</v>
      </c>
      <c r="E143" s="14">
        <f>SUM(E144:E145)</f>
        <v>642341.38</v>
      </c>
    </row>
    <row r="144" spans="1:5" s="3" customFormat="1" ht="92.25" customHeight="1" x14ac:dyDescent="0.3">
      <c r="A144" s="11" t="s">
        <v>354</v>
      </c>
      <c r="B144" s="12" t="s">
        <v>352</v>
      </c>
      <c r="C144" s="12">
        <v>200</v>
      </c>
      <c r="D144" s="33">
        <f>402341.38-402341.38</f>
        <v>0</v>
      </c>
      <c r="E144" s="33">
        <v>402341.38</v>
      </c>
    </row>
    <row r="145" spans="1:5" s="3" customFormat="1" ht="227.25" customHeight="1" x14ac:dyDescent="0.3">
      <c r="A145" s="11" t="s">
        <v>523</v>
      </c>
      <c r="B145" s="12" t="s">
        <v>522</v>
      </c>
      <c r="C145" s="12">
        <v>800</v>
      </c>
      <c r="D145" s="33">
        <v>240000</v>
      </c>
      <c r="E145" s="33">
        <v>240000</v>
      </c>
    </row>
    <row r="146" spans="1:5" s="3" customFormat="1" ht="106.5" customHeight="1" x14ac:dyDescent="0.3">
      <c r="A146" s="23" t="s">
        <v>247</v>
      </c>
      <c r="B146" s="17" t="s">
        <v>248</v>
      </c>
      <c r="C146" s="12"/>
      <c r="D146" s="13">
        <f>D147+D151+D153</f>
        <v>407000</v>
      </c>
      <c r="E146" s="13">
        <f>E147+E151+E153</f>
        <v>407000</v>
      </c>
    </row>
    <row r="147" spans="1:5" ht="110.25" customHeight="1" x14ac:dyDescent="0.3">
      <c r="A147" s="21" t="s">
        <v>249</v>
      </c>
      <c r="B147" s="19" t="s">
        <v>250</v>
      </c>
      <c r="C147" s="12"/>
      <c r="D147" s="14">
        <f t="shared" ref="D147:E147" si="19">SUM(D148:D150)</f>
        <v>279000</v>
      </c>
      <c r="E147" s="14">
        <f t="shared" si="19"/>
        <v>279000</v>
      </c>
    </row>
    <row r="148" spans="1:5" s="4" customFormat="1" ht="105" customHeight="1" x14ac:dyDescent="0.3">
      <c r="A148" s="11" t="s">
        <v>251</v>
      </c>
      <c r="B148" s="12" t="s">
        <v>252</v>
      </c>
      <c r="C148" s="12">
        <v>200</v>
      </c>
      <c r="D148" s="33">
        <v>30000</v>
      </c>
      <c r="E148" s="33">
        <v>30000</v>
      </c>
    </row>
    <row r="149" spans="1:5" s="4" customFormat="1" ht="159" customHeight="1" x14ac:dyDescent="0.3">
      <c r="A149" s="11" t="s">
        <v>253</v>
      </c>
      <c r="B149" s="12" t="s">
        <v>254</v>
      </c>
      <c r="C149" s="12">
        <v>200</v>
      </c>
      <c r="D149" s="33">
        <v>4000</v>
      </c>
      <c r="E149" s="33">
        <v>4000</v>
      </c>
    </row>
    <row r="150" spans="1:5" s="4" customFormat="1" ht="111" customHeight="1" x14ac:dyDescent="0.3">
      <c r="A150" s="11" t="s">
        <v>390</v>
      </c>
      <c r="B150" s="12" t="s">
        <v>391</v>
      </c>
      <c r="C150" s="12">
        <v>200</v>
      </c>
      <c r="D150" s="33">
        <v>245000</v>
      </c>
      <c r="E150" s="33">
        <v>245000</v>
      </c>
    </row>
    <row r="151" spans="1:5" ht="32.25" customHeight="1" x14ac:dyDescent="0.3">
      <c r="A151" s="24" t="s">
        <v>255</v>
      </c>
      <c r="B151" s="19" t="s">
        <v>256</v>
      </c>
      <c r="C151" s="12"/>
      <c r="D151" s="14">
        <f t="shared" ref="D151:E151" si="20">D152</f>
        <v>110000</v>
      </c>
      <c r="E151" s="14">
        <f t="shared" si="20"/>
        <v>110000</v>
      </c>
    </row>
    <row r="152" spans="1:5" ht="68.25" customHeight="1" x14ac:dyDescent="0.3">
      <c r="A152" s="11" t="s">
        <v>257</v>
      </c>
      <c r="B152" s="12" t="s">
        <v>258</v>
      </c>
      <c r="C152" s="12">
        <v>800</v>
      </c>
      <c r="D152" s="33">
        <v>110000</v>
      </c>
      <c r="E152" s="33">
        <v>110000</v>
      </c>
    </row>
    <row r="153" spans="1:5" ht="135" customHeight="1" x14ac:dyDescent="0.3">
      <c r="A153" s="21" t="s">
        <v>526</v>
      </c>
      <c r="B153" s="19" t="s">
        <v>524</v>
      </c>
      <c r="C153" s="19"/>
      <c r="D153" s="34">
        <f>D154</f>
        <v>18000</v>
      </c>
      <c r="E153" s="34">
        <f>E154</f>
        <v>18000</v>
      </c>
    </row>
    <row r="154" spans="1:5" ht="141" customHeight="1" x14ac:dyDescent="0.3">
      <c r="A154" s="11" t="s">
        <v>527</v>
      </c>
      <c r="B154" s="12" t="s">
        <v>525</v>
      </c>
      <c r="C154" s="12">
        <v>200</v>
      </c>
      <c r="D154" s="33">
        <v>18000</v>
      </c>
      <c r="E154" s="33">
        <v>18000</v>
      </c>
    </row>
    <row r="155" spans="1:5" ht="69" customHeight="1" x14ac:dyDescent="0.3">
      <c r="A155" s="25" t="s">
        <v>259</v>
      </c>
      <c r="B155" s="17" t="s">
        <v>260</v>
      </c>
      <c r="C155" s="12"/>
      <c r="D155" s="13">
        <f t="shared" ref="D155:E155" si="21">D156</f>
        <v>842196.26</v>
      </c>
      <c r="E155" s="13">
        <f t="shared" si="21"/>
        <v>842196.26</v>
      </c>
    </row>
    <row r="156" spans="1:5" ht="51.75" customHeight="1" x14ac:dyDescent="0.3">
      <c r="A156" s="21" t="s">
        <v>261</v>
      </c>
      <c r="B156" s="19" t="s">
        <v>262</v>
      </c>
      <c r="C156" s="12"/>
      <c r="D156" s="14">
        <f>SUM(D157:D158)</f>
        <v>842196.26</v>
      </c>
      <c r="E156" s="14">
        <f>SUM(E157:E158)</f>
        <v>842196.26</v>
      </c>
    </row>
    <row r="157" spans="1:5" ht="116.25" customHeight="1" x14ac:dyDescent="0.3">
      <c r="A157" s="11" t="s">
        <v>529</v>
      </c>
      <c r="B157" s="12" t="s">
        <v>528</v>
      </c>
      <c r="C157" s="12">
        <v>500</v>
      </c>
      <c r="D157" s="5">
        <v>570621.41</v>
      </c>
      <c r="E157" s="5">
        <v>570621.41</v>
      </c>
    </row>
    <row r="158" spans="1:5" s="3" customFormat="1" ht="107.25" customHeight="1" x14ac:dyDescent="0.3">
      <c r="A158" s="11" t="s">
        <v>346</v>
      </c>
      <c r="B158" s="12" t="s">
        <v>263</v>
      </c>
      <c r="C158" s="12">
        <v>200</v>
      </c>
      <c r="D158" s="33">
        <v>271574.84999999998</v>
      </c>
      <c r="E158" s="33">
        <v>271574.84999999998</v>
      </c>
    </row>
    <row r="159" spans="1:5" s="3" customFormat="1" ht="88.5" customHeight="1" x14ac:dyDescent="0.3">
      <c r="A159" s="23" t="s">
        <v>383</v>
      </c>
      <c r="B159" s="17" t="s">
        <v>378</v>
      </c>
      <c r="C159" s="17"/>
      <c r="D159" s="13">
        <f t="shared" ref="D159:E160" si="22">D160</f>
        <v>3776889.6</v>
      </c>
      <c r="E159" s="13">
        <f t="shared" si="22"/>
        <v>3776889.6</v>
      </c>
    </row>
    <row r="160" spans="1:5" s="3" customFormat="1" ht="84.75" customHeight="1" x14ac:dyDescent="0.3">
      <c r="A160" s="21" t="s">
        <v>384</v>
      </c>
      <c r="B160" s="19" t="s">
        <v>379</v>
      </c>
      <c r="C160" s="19"/>
      <c r="D160" s="14">
        <f t="shared" si="22"/>
        <v>3776889.6</v>
      </c>
      <c r="E160" s="14">
        <f t="shared" si="22"/>
        <v>3776889.6</v>
      </c>
    </row>
    <row r="161" spans="1:5" s="3" customFormat="1" ht="109.5" customHeight="1" x14ac:dyDescent="0.3">
      <c r="A161" s="11" t="s">
        <v>385</v>
      </c>
      <c r="B161" s="12" t="s">
        <v>380</v>
      </c>
      <c r="C161" s="12">
        <v>400</v>
      </c>
      <c r="D161" s="33">
        <v>3776889.6</v>
      </c>
      <c r="E161" s="33">
        <f>944222.4+2832667.2</f>
        <v>3776889.6</v>
      </c>
    </row>
    <row r="162" spans="1:5" ht="69" customHeight="1" x14ac:dyDescent="0.3">
      <c r="A162" s="16" t="s">
        <v>201</v>
      </c>
      <c r="B162" s="17" t="s">
        <v>49</v>
      </c>
      <c r="C162" s="17"/>
      <c r="D162" s="13">
        <f>D163+D172+D177+D181+D184+D187+D188</f>
        <v>18669120.16</v>
      </c>
      <c r="E162" s="13">
        <f>E163+E172+E177+E181+E184+E187+E188</f>
        <v>17556814.740000002</v>
      </c>
    </row>
    <row r="163" spans="1:5" ht="46.5" customHeight="1" x14ac:dyDescent="0.3">
      <c r="A163" s="16" t="s">
        <v>202</v>
      </c>
      <c r="B163" s="17" t="s">
        <v>50</v>
      </c>
      <c r="C163" s="17"/>
      <c r="D163" s="13">
        <f>D164+D170</f>
        <v>13446061.270000001</v>
      </c>
      <c r="E163" s="13">
        <f>E164+E170</f>
        <v>13446061.270000001</v>
      </c>
    </row>
    <row r="164" spans="1:5" s="4" customFormat="1" ht="47.25" customHeight="1" x14ac:dyDescent="0.3">
      <c r="A164" s="18" t="s">
        <v>52</v>
      </c>
      <c r="B164" s="19" t="s">
        <v>51</v>
      </c>
      <c r="C164" s="19"/>
      <c r="D164" s="14">
        <f t="shared" ref="D164:E164" si="23">SUM(D165:D169)</f>
        <v>13396061.270000001</v>
      </c>
      <c r="E164" s="14">
        <f t="shared" si="23"/>
        <v>13396061.270000001</v>
      </c>
    </row>
    <row r="165" spans="1:5" s="3" customFormat="1" ht="112.5" x14ac:dyDescent="0.3">
      <c r="A165" s="20" t="s">
        <v>138</v>
      </c>
      <c r="B165" s="12" t="s">
        <v>53</v>
      </c>
      <c r="C165" s="12">
        <v>100</v>
      </c>
      <c r="D165" s="33">
        <f>9811344.71+1378457.16</f>
        <v>11189801.870000001</v>
      </c>
      <c r="E165" s="33">
        <f>9811344.71+1378457.16</f>
        <v>11189801.870000001</v>
      </c>
    </row>
    <row r="166" spans="1:5" ht="87" customHeight="1" x14ac:dyDescent="0.3">
      <c r="A166" s="20" t="s">
        <v>154</v>
      </c>
      <c r="B166" s="12" t="s">
        <v>53</v>
      </c>
      <c r="C166" s="12">
        <v>200</v>
      </c>
      <c r="D166" s="33">
        <v>1372724.25</v>
      </c>
      <c r="E166" s="33">
        <v>1372724.25</v>
      </c>
    </row>
    <row r="167" spans="1:5" s="3" customFormat="1" ht="67.5" customHeight="1" x14ac:dyDescent="0.3">
      <c r="A167" s="20" t="s">
        <v>151</v>
      </c>
      <c r="B167" s="12" t="s">
        <v>53</v>
      </c>
      <c r="C167" s="12">
        <v>800</v>
      </c>
      <c r="D167" s="33">
        <v>13600</v>
      </c>
      <c r="E167" s="33">
        <v>13600</v>
      </c>
    </row>
    <row r="168" spans="1:5" ht="148.5" customHeight="1" x14ac:dyDescent="0.3">
      <c r="A168" s="20" t="s">
        <v>139</v>
      </c>
      <c r="B168" s="12" t="s">
        <v>54</v>
      </c>
      <c r="C168" s="12">
        <v>100</v>
      </c>
      <c r="D168" s="33">
        <f>436737.12+19530.03</f>
        <v>456267.15</v>
      </c>
      <c r="E168" s="33">
        <f>436737.12+19530.03</f>
        <v>456267.15</v>
      </c>
    </row>
    <row r="169" spans="1:5" ht="102.75" customHeight="1" x14ac:dyDescent="0.3">
      <c r="A169" s="20" t="s">
        <v>155</v>
      </c>
      <c r="B169" s="12" t="s">
        <v>54</v>
      </c>
      <c r="C169" s="12">
        <v>200</v>
      </c>
      <c r="D169" s="33">
        <v>363668</v>
      </c>
      <c r="E169" s="33">
        <v>363668</v>
      </c>
    </row>
    <row r="170" spans="1:5" ht="74.25" customHeight="1" x14ac:dyDescent="0.3">
      <c r="A170" s="18" t="s">
        <v>496</v>
      </c>
      <c r="B170" s="19" t="s">
        <v>497</v>
      </c>
      <c r="C170" s="12"/>
      <c r="D170" s="34">
        <f>D171</f>
        <v>50000</v>
      </c>
      <c r="E170" s="34">
        <f>E171</f>
        <v>50000</v>
      </c>
    </row>
    <row r="171" spans="1:5" ht="162.75" customHeight="1" x14ac:dyDescent="0.3">
      <c r="A171" s="20" t="s">
        <v>581</v>
      </c>
      <c r="B171" s="12" t="s">
        <v>498</v>
      </c>
      <c r="C171" s="12">
        <v>100</v>
      </c>
      <c r="D171" s="33">
        <v>50000</v>
      </c>
      <c r="E171" s="33">
        <v>50000</v>
      </c>
    </row>
    <row r="172" spans="1:5" ht="50.25" customHeight="1" x14ac:dyDescent="0.3">
      <c r="A172" s="16" t="s">
        <v>56</v>
      </c>
      <c r="B172" s="17" t="s">
        <v>55</v>
      </c>
      <c r="C172" s="17"/>
      <c r="D172" s="13">
        <f>D173+D175</f>
        <v>4645272.8899999997</v>
      </c>
      <c r="E172" s="13">
        <f>E173+E175</f>
        <v>3534162.47</v>
      </c>
    </row>
    <row r="173" spans="1:5" s="4" customFormat="1" ht="51.75" customHeight="1" x14ac:dyDescent="0.3">
      <c r="A173" s="18" t="s">
        <v>58</v>
      </c>
      <c r="B173" s="19" t="s">
        <v>57</v>
      </c>
      <c r="C173" s="19"/>
      <c r="D173" s="14">
        <f t="shared" ref="D173:E173" si="24">D174</f>
        <v>4567931.42</v>
      </c>
      <c r="E173" s="14">
        <f t="shared" si="24"/>
        <v>3456821</v>
      </c>
    </row>
    <row r="174" spans="1:5" s="3" customFormat="1" ht="84" customHeight="1" x14ac:dyDescent="0.3">
      <c r="A174" s="20" t="s">
        <v>149</v>
      </c>
      <c r="B174" s="12" t="s">
        <v>59</v>
      </c>
      <c r="C174" s="12">
        <v>600</v>
      </c>
      <c r="D174" s="33">
        <f>3456821+1111110.42</f>
        <v>4567931.42</v>
      </c>
      <c r="E174" s="33">
        <v>3456821</v>
      </c>
    </row>
    <row r="175" spans="1:5" s="3" customFormat="1" ht="54.75" customHeight="1" x14ac:dyDescent="0.3">
      <c r="A175" s="18" t="s">
        <v>499</v>
      </c>
      <c r="B175" s="19" t="s">
        <v>500</v>
      </c>
      <c r="C175" s="19"/>
      <c r="D175" s="34">
        <f>D176</f>
        <v>77341.47</v>
      </c>
      <c r="E175" s="34">
        <f>E176</f>
        <v>77341.47</v>
      </c>
    </row>
    <row r="176" spans="1:5" s="3" customFormat="1" ht="156" customHeight="1" x14ac:dyDescent="0.3">
      <c r="A176" s="20" t="s">
        <v>501</v>
      </c>
      <c r="B176" s="12" t="s">
        <v>502</v>
      </c>
      <c r="C176" s="12">
        <v>600</v>
      </c>
      <c r="D176" s="33">
        <v>77341.47</v>
      </c>
      <c r="E176" s="33">
        <v>77341.47</v>
      </c>
    </row>
    <row r="177" spans="1:5" ht="48" customHeight="1" x14ac:dyDescent="0.3">
      <c r="A177" s="16" t="s">
        <v>373</v>
      </c>
      <c r="B177" s="17" t="s">
        <v>60</v>
      </c>
      <c r="C177" s="17"/>
      <c r="D177" s="13">
        <f t="shared" ref="D177:E177" si="25">D178</f>
        <v>312786</v>
      </c>
      <c r="E177" s="13">
        <f t="shared" si="25"/>
        <v>311591</v>
      </c>
    </row>
    <row r="178" spans="1:5" s="4" customFormat="1" ht="51.75" customHeight="1" x14ac:dyDescent="0.3">
      <c r="A178" s="18" t="s">
        <v>62</v>
      </c>
      <c r="B178" s="19" t="s">
        <v>61</v>
      </c>
      <c r="C178" s="19"/>
      <c r="D178" s="14">
        <f>SUM(D179:D180)</f>
        <v>312786</v>
      </c>
      <c r="E178" s="14">
        <f>SUM(E179:E180)</f>
        <v>311591</v>
      </c>
    </row>
    <row r="179" spans="1:5" s="3" customFormat="1" ht="124.5" customHeight="1" x14ac:dyDescent="0.3">
      <c r="A179" s="20" t="s">
        <v>386</v>
      </c>
      <c r="B179" s="12" t="s">
        <v>63</v>
      </c>
      <c r="C179" s="12">
        <v>200</v>
      </c>
      <c r="D179" s="33">
        <f>220000-937.23</f>
        <v>219062.77</v>
      </c>
      <c r="E179" s="33">
        <f>220000-925.16</f>
        <v>219074.84</v>
      </c>
    </row>
    <row r="180" spans="1:5" s="3" customFormat="1" ht="112.5" x14ac:dyDescent="0.3">
      <c r="A180" s="20" t="s">
        <v>583</v>
      </c>
      <c r="B180" s="12" t="s">
        <v>582</v>
      </c>
      <c r="C180" s="12">
        <v>200</v>
      </c>
      <c r="D180" s="33">
        <f>92786+937.23</f>
        <v>93723.23</v>
      </c>
      <c r="E180" s="33">
        <f>91591+925.16</f>
        <v>92516.160000000003</v>
      </c>
    </row>
    <row r="181" spans="1:5" ht="47.25" customHeight="1" x14ac:dyDescent="0.3">
      <c r="A181" s="16" t="s">
        <v>172</v>
      </c>
      <c r="B181" s="17" t="s">
        <v>64</v>
      </c>
      <c r="C181" s="17"/>
      <c r="D181" s="13">
        <f t="shared" ref="D181:E181" si="26">D182</f>
        <v>50000</v>
      </c>
      <c r="E181" s="13">
        <f t="shared" si="26"/>
        <v>50000</v>
      </c>
    </row>
    <row r="182" spans="1:5" ht="45" customHeight="1" x14ac:dyDescent="0.3">
      <c r="A182" s="18" t="s">
        <v>203</v>
      </c>
      <c r="B182" s="19" t="s">
        <v>65</v>
      </c>
      <c r="C182" s="19"/>
      <c r="D182" s="14">
        <f t="shared" ref="D182:E182" si="27">SUM(D183:D183)</f>
        <v>50000</v>
      </c>
      <c r="E182" s="14">
        <f t="shared" si="27"/>
        <v>50000</v>
      </c>
    </row>
    <row r="183" spans="1:5" ht="70.5" customHeight="1" x14ac:dyDescent="0.3">
      <c r="A183" s="20" t="s">
        <v>173</v>
      </c>
      <c r="B183" s="12" t="s">
        <v>66</v>
      </c>
      <c r="C183" s="12">
        <v>200</v>
      </c>
      <c r="D183" s="33">
        <v>50000</v>
      </c>
      <c r="E183" s="33">
        <v>50000</v>
      </c>
    </row>
    <row r="184" spans="1:5" s="3" customFormat="1" ht="74.25" customHeight="1" x14ac:dyDescent="0.3">
      <c r="A184" s="16" t="s">
        <v>348</v>
      </c>
      <c r="B184" s="17" t="s">
        <v>67</v>
      </c>
      <c r="C184" s="17"/>
      <c r="D184" s="13">
        <f t="shared" ref="D184:E185" si="28">D185</f>
        <v>50000</v>
      </c>
      <c r="E184" s="13">
        <f t="shared" si="28"/>
        <v>50000</v>
      </c>
    </row>
    <row r="185" spans="1:5" ht="65.25" customHeight="1" x14ac:dyDescent="0.3">
      <c r="A185" s="18" t="s">
        <v>69</v>
      </c>
      <c r="B185" s="19" t="s">
        <v>68</v>
      </c>
      <c r="C185" s="19"/>
      <c r="D185" s="14">
        <f t="shared" si="28"/>
        <v>50000</v>
      </c>
      <c r="E185" s="14">
        <f t="shared" si="28"/>
        <v>50000</v>
      </c>
    </row>
    <row r="186" spans="1:5" s="4" customFormat="1" ht="71.25" customHeight="1" x14ac:dyDescent="0.3">
      <c r="A186" s="20" t="s">
        <v>156</v>
      </c>
      <c r="B186" s="12" t="s">
        <v>70</v>
      </c>
      <c r="C186" s="12">
        <v>200</v>
      </c>
      <c r="D186" s="33">
        <v>50000</v>
      </c>
      <c r="E186" s="33">
        <v>50000</v>
      </c>
    </row>
    <row r="187" spans="1:5" s="3" customFormat="1" ht="68.25" hidden="1" customHeight="1" x14ac:dyDescent="0.3">
      <c r="A187" s="16" t="s">
        <v>417</v>
      </c>
      <c r="B187" s="17" t="s">
        <v>71</v>
      </c>
      <c r="C187" s="17"/>
      <c r="D187" s="13">
        <v>0</v>
      </c>
      <c r="E187" s="13">
        <v>0</v>
      </c>
    </row>
    <row r="188" spans="1:5" s="3" customFormat="1" ht="73.5" customHeight="1" x14ac:dyDescent="0.3">
      <c r="A188" s="23" t="s">
        <v>376</v>
      </c>
      <c r="B188" s="17" t="s">
        <v>264</v>
      </c>
      <c r="C188" s="12"/>
      <c r="D188" s="13">
        <f>D189+D192+D193</f>
        <v>165000</v>
      </c>
      <c r="E188" s="13">
        <f>E189+E192+E193</f>
        <v>165000</v>
      </c>
    </row>
    <row r="189" spans="1:5" ht="48" customHeight="1" x14ac:dyDescent="0.3">
      <c r="A189" s="21" t="s">
        <v>265</v>
      </c>
      <c r="B189" s="19" t="s">
        <v>266</v>
      </c>
      <c r="C189" s="12"/>
      <c r="D189" s="14">
        <f t="shared" ref="D189:E189" si="29">D190+D191</f>
        <v>165000</v>
      </c>
      <c r="E189" s="14">
        <f t="shared" si="29"/>
        <v>165000</v>
      </c>
    </row>
    <row r="190" spans="1:5" ht="89.25" customHeight="1" x14ac:dyDescent="0.3">
      <c r="A190" s="11" t="s">
        <v>438</v>
      </c>
      <c r="B190" s="12" t="s">
        <v>267</v>
      </c>
      <c r="C190" s="12">
        <v>200</v>
      </c>
      <c r="D190" s="33">
        <v>133000</v>
      </c>
      <c r="E190" s="33">
        <v>133000</v>
      </c>
    </row>
    <row r="191" spans="1:5" ht="89.25" customHeight="1" x14ac:dyDescent="0.3">
      <c r="A191" s="11" t="s">
        <v>437</v>
      </c>
      <c r="B191" s="12" t="s">
        <v>267</v>
      </c>
      <c r="C191" s="12">
        <v>600</v>
      </c>
      <c r="D191" s="33">
        <v>32000</v>
      </c>
      <c r="E191" s="33">
        <v>32000</v>
      </c>
    </row>
    <row r="192" spans="1:5" s="3" customFormat="1" ht="49.5" hidden="1" customHeight="1" x14ac:dyDescent="0.3">
      <c r="A192" s="21" t="s">
        <v>268</v>
      </c>
      <c r="B192" s="19" t="s">
        <v>269</v>
      </c>
      <c r="C192" s="12"/>
      <c r="D192" s="14">
        <v>0</v>
      </c>
      <c r="E192" s="14">
        <v>0</v>
      </c>
    </row>
    <row r="193" spans="1:5" s="4" customFormat="1" ht="47.25" hidden="1" customHeight="1" x14ac:dyDescent="0.3">
      <c r="A193" s="21" t="s">
        <v>131</v>
      </c>
      <c r="B193" s="19" t="s">
        <v>270</v>
      </c>
      <c r="C193" s="19"/>
      <c r="D193" s="14">
        <v>0</v>
      </c>
      <c r="E193" s="14">
        <v>0</v>
      </c>
    </row>
    <row r="194" spans="1:5" ht="105.75" customHeight="1" x14ac:dyDescent="0.3">
      <c r="A194" s="16" t="s">
        <v>271</v>
      </c>
      <c r="B194" s="17" t="s">
        <v>72</v>
      </c>
      <c r="C194" s="17"/>
      <c r="D194" s="13">
        <f t="shared" ref="D194:E194" si="30">D195+D201+D209</f>
        <v>2669103.77</v>
      </c>
      <c r="E194" s="13">
        <f t="shared" si="30"/>
        <v>2669103.77</v>
      </c>
    </row>
    <row r="195" spans="1:5" ht="49.5" customHeight="1" x14ac:dyDescent="0.3">
      <c r="A195" s="16" t="s">
        <v>204</v>
      </c>
      <c r="B195" s="17" t="s">
        <v>73</v>
      </c>
      <c r="C195" s="17"/>
      <c r="D195" s="13">
        <f t="shared" ref="D195:E195" si="31">D196</f>
        <v>137900</v>
      </c>
      <c r="E195" s="13">
        <f t="shared" si="31"/>
        <v>137900</v>
      </c>
    </row>
    <row r="196" spans="1:5" s="4" customFormat="1" ht="66.75" customHeight="1" x14ac:dyDescent="0.3">
      <c r="A196" s="21" t="s">
        <v>272</v>
      </c>
      <c r="B196" s="19" t="s">
        <v>273</v>
      </c>
      <c r="C196" s="19"/>
      <c r="D196" s="14">
        <f>SUM(D197:D200)</f>
        <v>137900</v>
      </c>
      <c r="E196" s="14">
        <f>SUM(E197:E200)</f>
        <v>137900</v>
      </c>
    </row>
    <row r="197" spans="1:5" s="3" customFormat="1" ht="104.25" customHeight="1" x14ac:dyDescent="0.3">
      <c r="A197" s="20" t="s">
        <v>157</v>
      </c>
      <c r="B197" s="12" t="s">
        <v>274</v>
      </c>
      <c r="C197" s="12">
        <v>200</v>
      </c>
      <c r="D197" s="33">
        <v>18800</v>
      </c>
      <c r="E197" s="33">
        <v>18800</v>
      </c>
    </row>
    <row r="198" spans="1:5" ht="105.75" customHeight="1" x14ac:dyDescent="0.3">
      <c r="A198" s="20" t="s">
        <v>158</v>
      </c>
      <c r="B198" s="12" t="s">
        <v>275</v>
      </c>
      <c r="C198" s="12">
        <v>200</v>
      </c>
      <c r="D198" s="33">
        <v>4300</v>
      </c>
      <c r="E198" s="33">
        <v>4300</v>
      </c>
    </row>
    <row r="199" spans="1:5" ht="92.25" customHeight="1" x14ac:dyDescent="0.3">
      <c r="A199" s="20" t="s">
        <v>205</v>
      </c>
      <c r="B199" s="12" t="s">
        <v>276</v>
      </c>
      <c r="C199" s="12">
        <v>200</v>
      </c>
      <c r="D199" s="33">
        <v>104800</v>
      </c>
      <c r="E199" s="33">
        <v>104800</v>
      </c>
    </row>
    <row r="200" spans="1:5" ht="92.25" customHeight="1" x14ac:dyDescent="0.3">
      <c r="A200" s="20" t="s">
        <v>531</v>
      </c>
      <c r="B200" s="12" t="s">
        <v>530</v>
      </c>
      <c r="C200" s="12">
        <v>200</v>
      </c>
      <c r="D200" s="33">
        <v>10000</v>
      </c>
      <c r="E200" s="33">
        <v>10000</v>
      </c>
    </row>
    <row r="201" spans="1:5" s="4" customFormat="1" ht="37.5" x14ac:dyDescent="0.3">
      <c r="A201" s="16" t="s">
        <v>206</v>
      </c>
      <c r="B201" s="17" t="s">
        <v>74</v>
      </c>
      <c r="C201" s="17"/>
      <c r="D201" s="13">
        <f t="shared" ref="D201:E201" si="32">D202</f>
        <v>2366203.77</v>
      </c>
      <c r="E201" s="13">
        <f t="shared" si="32"/>
        <v>2366203.77</v>
      </c>
    </row>
    <row r="202" spans="1:5" s="3" customFormat="1" ht="66" customHeight="1" x14ac:dyDescent="0.3">
      <c r="A202" s="21" t="s">
        <v>277</v>
      </c>
      <c r="B202" s="19" t="s">
        <v>278</v>
      </c>
      <c r="C202" s="19"/>
      <c r="D202" s="14">
        <f>SUM(D203:D208)</f>
        <v>2366203.77</v>
      </c>
      <c r="E202" s="14">
        <f>SUM(E203:E208)</f>
        <v>2366203.77</v>
      </c>
    </row>
    <row r="203" spans="1:5" ht="75" x14ac:dyDescent="0.3">
      <c r="A203" s="20" t="s">
        <v>334</v>
      </c>
      <c r="B203" s="12" t="s">
        <v>279</v>
      </c>
      <c r="C203" s="12">
        <v>200</v>
      </c>
      <c r="D203" s="33">
        <v>100000</v>
      </c>
      <c r="E203" s="33">
        <v>100000</v>
      </c>
    </row>
    <row r="204" spans="1:5" ht="56.25" x14ac:dyDescent="0.3">
      <c r="A204" s="20" t="s">
        <v>439</v>
      </c>
      <c r="B204" s="12" t="s">
        <v>279</v>
      </c>
      <c r="C204" s="12">
        <v>800</v>
      </c>
      <c r="D204" s="33">
        <v>30000</v>
      </c>
      <c r="E204" s="33">
        <v>30000</v>
      </c>
    </row>
    <row r="205" spans="1:5" ht="75" x14ac:dyDescent="0.3">
      <c r="A205" s="11" t="s">
        <v>347</v>
      </c>
      <c r="B205" s="12" t="s">
        <v>335</v>
      </c>
      <c r="C205" s="12">
        <v>600</v>
      </c>
      <c r="D205" s="33">
        <v>190700</v>
      </c>
      <c r="E205" s="33">
        <v>190700</v>
      </c>
    </row>
    <row r="206" spans="1:5" ht="112.5" x14ac:dyDescent="0.3">
      <c r="A206" s="11" t="s">
        <v>457</v>
      </c>
      <c r="B206" s="12" t="s">
        <v>456</v>
      </c>
      <c r="C206" s="12">
        <v>100</v>
      </c>
      <c r="D206" s="33">
        <v>1888003.77</v>
      </c>
      <c r="E206" s="33">
        <v>1888003.77</v>
      </c>
    </row>
    <row r="207" spans="1:5" ht="75" x14ac:dyDescent="0.3">
      <c r="A207" s="11" t="s">
        <v>532</v>
      </c>
      <c r="B207" s="12" t="s">
        <v>456</v>
      </c>
      <c r="C207" s="12">
        <v>200</v>
      </c>
      <c r="D207" s="33">
        <v>156000</v>
      </c>
      <c r="E207" s="33">
        <v>156000</v>
      </c>
    </row>
    <row r="208" spans="1:5" ht="56.25" x14ac:dyDescent="0.3">
      <c r="A208" s="11" t="s">
        <v>533</v>
      </c>
      <c r="B208" s="12" t="s">
        <v>456</v>
      </c>
      <c r="C208" s="12">
        <v>800</v>
      </c>
      <c r="D208" s="33">
        <v>1500</v>
      </c>
      <c r="E208" s="33">
        <v>1500</v>
      </c>
    </row>
    <row r="209" spans="1:5" s="3" customFormat="1" ht="71.25" customHeight="1" x14ac:dyDescent="0.3">
      <c r="A209" s="23" t="s">
        <v>280</v>
      </c>
      <c r="B209" s="17" t="s">
        <v>281</v>
      </c>
      <c r="C209" s="12"/>
      <c r="D209" s="13">
        <f t="shared" ref="D209:E209" si="33">D210</f>
        <v>165000</v>
      </c>
      <c r="E209" s="13">
        <f t="shared" si="33"/>
        <v>165000</v>
      </c>
    </row>
    <row r="210" spans="1:5" ht="66" customHeight="1" x14ac:dyDescent="0.3">
      <c r="A210" s="21" t="s">
        <v>282</v>
      </c>
      <c r="B210" s="19" t="s">
        <v>283</v>
      </c>
      <c r="C210" s="12"/>
      <c r="D210" s="14">
        <f t="shared" ref="D210:E210" si="34">SUM(D211:D215)</f>
        <v>165000</v>
      </c>
      <c r="E210" s="14">
        <f t="shared" si="34"/>
        <v>165000</v>
      </c>
    </row>
    <row r="211" spans="1:5" s="3" customFormat="1" ht="68.25" customHeight="1" x14ac:dyDescent="0.3">
      <c r="A211" s="11" t="s">
        <v>284</v>
      </c>
      <c r="B211" s="12" t="s">
        <v>285</v>
      </c>
      <c r="C211" s="12">
        <v>200</v>
      </c>
      <c r="D211" s="33">
        <v>10000</v>
      </c>
      <c r="E211" s="33">
        <v>10000</v>
      </c>
    </row>
    <row r="212" spans="1:5" ht="63.75" customHeight="1" x14ac:dyDescent="0.3">
      <c r="A212" s="11" t="s">
        <v>159</v>
      </c>
      <c r="B212" s="12" t="s">
        <v>286</v>
      </c>
      <c r="C212" s="12">
        <v>200</v>
      </c>
      <c r="D212" s="33">
        <v>10000</v>
      </c>
      <c r="E212" s="33">
        <v>10000</v>
      </c>
    </row>
    <row r="213" spans="1:5" ht="85.5" customHeight="1" x14ac:dyDescent="0.3">
      <c r="A213" s="11" t="s">
        <v>287</v>
      </c>
      <c r="B213" s="12" t="s">
        <v>288</v>
      </c>
      <c r="C213" s="12">
        <v>200</v>
      </c>
      <c r="D213" s="33">
        <v>81000</v>
      </c>
      <c r="E213" s="33">
        <v>81000</v>
      </c>
    </row>
    <row r="214" spans="1:5" ht="51" customHeight="1" x14ac:dyDescent="0.3">
      <c r="A214" s="11" t="s">
        <v>343</v>
      </c>
      <c r="B214" s="12" t="s">
        <v>288</v>
      </c>
      <c r="C214" s="12">
        <v>800</v>
      </c>
      <c r="D214" s="33">
        <v>20000</v>
      </c>
      <c r="E214" s="33">
        <v>20000</v>
      </c>
    </row>
    <row r="215" spans="1:5" ht="111" customHeight="1" x14ac:dyDescent="0.3">
      <c r="A215" s="11" t="s">
        <v>440</v>
      </c>
      <c r="B215" s="12" t="s">
        <v>289</v>
      </c>
      <c r="C215" s="12">
        <v>600</v>
      </c>
      <c r="D215" s="33">
        <v>44000</v>
      </c>
      <c r="E215" s="33">
        <v>44000</v>
      </c>
    </row>
    <row r="216" spans="1:5" s="4" customFormat="1" ht="66" customHeight="1" x14ac:dyDescent="0.3">
      <c r="A216" s="16" t="s">
        <v>207</v>
      </c>
      <c r="B216" s="17" t="s">
        <v>75</v>
      </c>
      <c r="C216" s="17"/>
      <c r="D216" s="13">
        <f>D217+D223+D228+D232</f>
        <v>1149000</v>
      </c>
      <c r="E216" s="13">
        <f>E217+E223+E228+E232</f>
        <v>1149000</v>
      </c>
    </row>
    <row r="217" spans="1:5" s="3" customFormat="1" ht="49.5" customHeight="1" x14ac:dyDescent="0.3">
      <c r="A217" s="16" t="s">
        <v>208</v>
      </c>
      <c r="B217" s="17" t="s">
        <v>76</v>
      </c>
      <c r="C217" s="17"/>
      <c r="D217" s="13">
        <f t="shared" ref="D217:E217" si="35">D218</f>
        <v>135000</v>
      </c>
      <c r="E217" s="13">
        <f t="shared" si="35"/>
        <v>135000</v>
      </c>
    </row>
    <row r="218" spans="1:5" ht="49.5" customHeight="1" x14ac:dyDescent="0.3">
      <c r="A218" s="18" t="s">
        <v>209</v>
      </c>
      <c r="B218" s="19" t="s">
        <v>77</v>
      </c>
      <c r="C218" s="19"/>
      <c r="D218" s="14">
        <f t="shared" ref="D218:E218" si="36">SUM(D219:D222)</f>
        <v>135000</v>
      </c>
      <c r="E218" s="14">
        <f t="shared" si="36"/>
        <v>135000</v>
      </c>
    </row>
    <row r="219" spans="1:5" s="4" customFormat="1" ht="93.75" x14ac:dyDescent="0.3">
      <c r="A219" s="11" t="s">
        <v>290</v>
      </c>
      <c r="B219" s="12" t="s">
        <v>78</v>
      </c>
      <c r="C219" s="12">
        <v>800</v>
      </c>
      <c r="D219" s="33">
        <v>45000</v>
      </c>
      <c r="E219" s="33">
        <v>45000</v>
      </c>
    </row>
    <row r="220" spans="1:5" s="4" customFormat="1" ht="104.25" customHeight="1" x14ac:dyDescent="0.3">
      <c r="A220" s="11" t="s">
        <v>291</v>
      </c>
      <c r="B220" s="12" t="s">
        <v>79</v>
      </c>
      <c r="C220" s="12">
        <v>800</v>
      </c>
      <c r="D220" s="33">
        <v>45000</v>
      </c>
      <c r="E220" s="33">
        <v>45000</v>
      </c>
    </row>
    <row r="221" spans="1:5" s="3" customFormat="1" ht="105.75" customHeight="1" x14ac:dyDescent="0.3">
      <c r="A221" s="11" t="s">
        <v>292</v>
      </c>
      <c r="B221" s="12" t="s">
        <v>293</v>
      </c>
      <c r="C221" s="12">
        <v>800</v>
      </c>
      <c r="D221" s="33">
        <v>20000</v>
      </c>
      <c r="E221" s="33">
        <v>20000</v>
      </c>
    </row>
    <row r="222" spans="1:5" ht="84" customHeight="1" x14ac:dyDescent="0.3">
      <c r="A222" s="11" t="s">
        <v>294</v>
      </c>
      <c r="B222" s="12" t="s">
        <v>295</v>
      </c>
      <c r="C222" s="12">
        <v>800</v>
      </c>
      <c r="D222" s="33">
        <v>25000</v>
      </c>
      <c r="E222" s="33">
        <v>25000</v>
      </c>
    </row>
    <row r="223" spans="1:5" ht="56.25" x14ac:dyDescent="0.3">
      <c r="A223" s="16" t="s">
        <v>210</v>
      </c>
      <c r="B223" s="17" t="s">
        <v>80</v>
      </c>
      <c r="C223" s="17"/>
      <c r="D223" s="13">
        <f t="shared" ref="D223:E223" si="37">D224</f>
        <v>460000</v>
      </c>
      <c r="E223" s="13">
        <f t="shared" si="37"/>
        <v>460000</v>
      </c>
    </row>
    <row r="224" spans="1:5" s="3" customFormat="1" ht="52.5" customHeight="1" x14ac:dyDescent="0.3">
      <c r="A224" s="18" t="s">
        <v>211</v>
      </c>
      <c r="B224" s="19" t="s">
        <v>81</v>
      </c>
      <c r="C224" s="19"/>
      <c r="D224" s="14">
        <f>SUM(D225:D227)</f>
        <v>460000</v>
      </c>
      <c r="E224" s="14">
        <f>SUM(E225:E227)</f>
        <v>460000</v>
      </c>
    </row>
    <row r="225" spans="1:5" s="4" customFormat="1" ht="99.75" customHeight="1" x14ac:dyDescent="0.3">
      <c r="A225" s="11" t="s">
        <v>413</v>
      </c>
      <c r="B225" s="12" t="s">
        <v>392</v>
      </c>
      <c r="C225" s="12">
        <v>200</v>
      </c>
      <c r="D225" s="33">
        <v>150000</v>
      </c>
      <c r="E225" s="33">
        <v>150000</v>
      </c>
    </row>
    <row r="226" spans="1:5" s="4" customFormat="1" ht="115.5" customHeight="1" x14ac:dyDescent="0.3">
      <c r="A226" s="11" t="s">
        <v>394</v>
      </c>
      <c r="B226" s="12" t="s">
        <v>393</v>
      </c>
      <c r="C226" s="12">
        <v>200</v>
      </c>
      <c r="D226" s="33">
        <v>210000</v>
      </c>
      <c r="E226" s="33">
        <v>210000</v>
      </c>
    </row>
    <row r="227" spans="1:5" s="4" customFormat="1" ht="77.25" customHeight="1" x14ac:dyDescent="0.3">
      <c r="A227" s="11" t="s">
        <v>535</v>
      </c>
      <c r="B227" s="12" t="s">
        <v>534</v>
      </c>
      <c r="C227" s="12">
        <v>200</v>
      </c>
      <c r="D227" s="33">
        <v>100000</v>
      </c>
      <c r="E227" s="33">
        <v>100000</v>
      </c>
    </row>
    <row r="228" spans="1:5" s="3" customFormat="1" ht="85.5" customHeight="1" x14ac:dyDescent="0.3">
      <c r="A228" s="16" t="s">
        <v>212</v>
      </c>
      <c r="B228" s="17" t="s">
        <v>82</v>
      </c>
      <c r="C228" s="17"/>
      <c r="D228" s="13">
        <f t="shared" ref="D228:E228" si="38">D229</f>
        <v>254000</v>
      </c>
      <c r="E228" s="13">
        <f t="shared" si="38"/>
        <v>254000</v>
      </c>
    </row>
    <row r="229" spans="1:5" ht="50.25" customHeight="1" x14ac:dyDescent="0.3">
      <c r="A229" s="18" t="s">
        <v>213</v>
      </c>
      <c r="B229" s="19" t="s">
        <v>83</v>
      </c>
      <c r="C229" s="19"/>
      <c r="D229" s="14">
        <f>SUM(D230:D231)</f>
        <v>254000</v>
      </c>
      <c r="E229" s="14">
        <f>SUM(E230:E231)</f>
        <v>254000</v>
      </c>
    </row>
    <row r="230" spans="1:5" ht="136.5" customHeight="1" x14ac:dyDescent="0.3">
      <c r="A230" s="20" t="s">
        <v>418</v>
      </c>
      <c r="B230" s="12" t="s">
        <v>296</v>
      </c>
      <c r="C230" s="12">
        <v>200</v>
      </c>
      <c r="D230" s="33">
        <v>154000</v>
      </c>
      <c r="E230" s="33">
        <v>154000</v>
      </c>
    </row>
    <row r="231" spans="1:5" ht="103.5" customHeight="1" x14ac:dyDescent="0.3">
      <c r="A231" s="20" t="s">
        <v>536</v>
      </c>
      <c r="B231" s="12" t="s">
        <v>559</v>
      </c>
      <c r="C231" s="12">
        <v>200</v>
      </c>
      <c r="D231" s="33">
        <v>100000</v>
      </c>
      <c r="E231" s="33">
        <v>100000</v>
      </c>
    </row>
    <row r="232" spans="1:5" s="3" customFormat="1" ht="129.75" customHeight="1" x14ac:dyDescent="0.3">
      <c r="A232" s="23" t="s">
        <v>424</v>
      </c>
      <c r="B232" s="17" t="s">
        <v>425</v>
      </c>
      <c r="C232" s="12"/>
      <c r="D232" s="13">
        <f t="shared" ref="D232:E232" si="39">D233</f>
        <v>300000</v>
      </c>
      <c r="E232" s="13">
        <f t="shared" si="39"/>
        <v>300000</v>
      </c>
    </row>
    <row r="233" spans="1:5" ht="102.75" customHeight="1" x14ac:dyDescent="0.3">
      <c r="A233" s="21" t="s">
        <v>414</v>
      </c>
      <c r="B233" s="19" t="s">
        <v>426</v>
      </c>
      <c r="C233" s="12"/>
      <c r="D233" s="14">
        <f t="shared" ref="D233:E233" si="40">SUM(D234:D235)</f>
        <v>300000</v>
      </c>
      <c r="E233" s="14">
        <f t="shared" si="40"/>
        <v>300000</v>
      </c>
    </row>
    <row r="234" spans="1:5" ht="114" customHeight="1" x14ac:dyDescent="0.3">
      <c r="A234" s="11" t="s">
        <v>395</v>
      </c>
      <c r="B234" s="12" t="s">
        <v>427</v>
      </c>
      <c r="C234" s="12">
        <v>200</v>
      </c>
      <c r="D234" s="33">
        <v>200000</v>
      </c>
      <c r="E234" s="33">
        <v>200000</v>
      </c>
    </row>
    <row r="235" spans="1:5" ht="89.25" customHeight="1" x14ac:dyDescent="0.3">
      <c r="A235" s="11" t="s">
        <v>396</v>
      </c>
      <c r="B235" s="12" t="s">
        <v>428</v>
      </c>
      <c r="C235" s="12">
        <v>200</v>
      </c>
      <c r="D235" s="33">
        <v>100000</v>
      </c>
      <c r="E235" s="33">
        <v>100000</v>
      </c>
    </row>
    <row r="236" spans="1:5" ht="83.25" customHeight="1" x14ac:dyDescent="0.3">
      <c r="A236" s="16" t="s">
        <v>419</v>
      </c>
      <c r="B236" s="17" t="s">
        <v>84</v>
      </c>
      <c r="C236" s="17"/>
      <c r="D236" s="13">
        <f t="shared" ref="D236:E237" si="41">D237</f>
        <v>110000</v>
      </c>
      <c r="E236" s="13">
        <f t="shared" si="41"/>
        <v>110000</v>
      </c>
    </row>
    <row r="237" spans="1:5" s="4" customFormat="1" ht="66.75" customHeight="1" x14ac:dyDescent="0.3">
      <c r="A237" s="16" t="s">
        <v>214</v>
      </c>
      <c r="B237" s="17" t="s">
        <v>85</v>
      </c>
      <c r="C237" s="17"/>
      <c r="D237" s="13">
        <f t="shared" si="41"/>
        <v>110000</v>
      </c>
      <c r="E237" s="13">
        <f t="shared" si="41"/>
        <v>110000</v>
      </c>
    </row>
    <row r="238" spans="1:5" s="4" customFormat="1" ht="65.25" customHeight="1" x14ac:dyDescent="0.3">
      <c r="A238" s="18" t="s">
        <v>215</v>
      </c>
      <c r="B238" s="19" t="s">
        <v>86</v>
      </c>
      <c r="C238" s="19"/>
      <c r="D238" s="14">
        <f>SUM(D239:D239)</f>
        <v>110000</v>
      </c>
      <c r="E238" s="14">
        <f>SUM(E239:E239)</f>
        <v>110000</v>
      </c>
    </row>
    <row r="239" spans="1:5" s="3" customFormat="1" ht="106.5" customHeight="1" x14ac:dyDescent="0.3">
      <c r="A239" s="20" t="s">
        <v>338</v>
      </c>
      <c r="B239" s="12" t="s">
        <v>87</v>
      </c>
      <c r="C239" s="12">
        <v>600</v>
      </c>
      <c r="D239" s="33">
        <v>110000</v>
      </c>
      <c r="E239" s="33">
        <v>110000</v>
      </c>
    </row>
    <row r="240" spans="1:5" ht="103.5" customHeight="1" x14ac:dyDescent="0.3">
      <c r="A240" s="16" t="s">
        <v>89</v>
      </c>
      <c r="B240" s="17" t="s">
        <v>88</v>
      </c>
      <c r="C240" s="17"/>
      <c r="D240" s="13">
        <f>D241+D252+D249</f>
        <v>254800</v>
      </c>
      <c r="E240" s="13">
        <f>E241+E252+E249</f>
        <v>254800</v>
      </c>
    </row>
    <row r="241" spans="1:5" ht="85.5" customHeight="1" x14ac:dyDescent="0.3">
      <c r="A241" s="16" t="s">
        <v>163</v>
      </c>
      <c r="B241" s="17" t="s">
        <v>90</v>
      </c>
      <c r="C241" s="17"/>
      <c r="D241" s="13">
        <f t="shared" ref="D241:E241" si="42">D242+D245</f>
        <v>80000</v>
      </c>
      <c r="E241" s="13">
        <f t="shared" si="42"/>
        <v>80000</v>
      </c>
    </row>
    <row r="242" spans="1:5" ht="70.5" customHeight="1" x14ac:dyDescent="0.3">
      <c r="A242" s="18" t="s">
        <v>92</v>
      </c>
      <c r="B242" s="19" t="s">
        <v>91</v>
      </c>
      <c r="C242" s="19"/>
      <c r="D242" s="14">
        <f t="shared" ref="D242:E242" si="43">SUM(D243:D244)</f>
        <v>20000</v>
      </c>
      <c r="E242" s="14">
        <f t="shared" si="43"/>
        <v>20000</v>
      </c>
    </row>
    <row r="243" spans="1:5" s="4" customFormat="1" ht="102" customHeight="1" x14ac:dyDescent="0.3">
      <c r="A243" s="20" t="s">
        <v>160</v>
      </c>
      <c r="B243" s="12" t="s">
        <v>93</v>
      </c>
      <c r="C243" s="12">
        <v>200</v>
      </c>
      <c r="D243" s="33">
        <v>10000</v>
      </c>
      <c r="E243" s="33">
        <v>10000</v>
      </c>
    </row>
    <row r="244" spans="1:5" s="4" customFormat="1" ht="87.75" customHeight="1" x14ac:dyDescent="0.3">
      <c r="A244" s="20" t="s">
        <v>297</v>
      </c>
      <c r="B244" s="12" t="s">
        <v>94</v>
      </c>
      <c r="C244" s="12">
        <v>200</v>
      </c>
      <c r="D244" s="33">
        <v>10000</v>
      </c>
      <c r="E244" s="33">
        <v>10000</v>
      </c>
    </row>
    <row r="245" spans="1:5" ht="67.5" customHeight="1" x14ac:dyDescent="0.3">
      <c r="A245" s="18" t="s">
        <v>96</v>
      </c>
      <c r="B245" s="19" t="s">
        <v>95</v>
      </c>
      <c r="C245" s="19"/>
      <c r="D245" s="14">
        <f>SUM(D246:D248)</f>
        <v>60000</v>
      </c>
      <c r="E245" s="14">
        <f>SUM(E246:E248)</f>
        <v>60000</v>
      </c>
    </row>
    <row r="246" spans="1:5" ht="87" customHeight="1" x14ac:dyDescent="0.3">
      <c r="A246" s="20" t="s">
        <v>170</v>
      </c>
      <c r="B246" s="12" t="s">
        <v>97</v>
      </c>
      <c r="C246" s="12">
        <v>200</v>
      </c>
      <c r="D246" s="33">
        <v>30000</v>
      </c>
      <c r="E246" s="33">
        <v>30000</v>
      </c>
    </row>
    <row r="247" spans="1:5" ht="83.25" customHeight="1" x14ac:dyDescent="0.3">
      <c r="A247" s="20" t="s">
        <v>161</v>
      </c>
      <c r="B247" s="12" t="s">
        <v>98</v>
      </c>
      <c r="C247" s="12">
        <v>200</v>
      </c>
      <c r="D247" s="33">
        <v>10000</v>
      </c>
      <c r="E247" s="33">
        <v>10000</v>
      </c>
    </row>
    <row r="248" spans="1:5" ht="83.25" customHeight="1" x14ac:dyDescent="0.3">
      <c r="A248" s="20" t="s">
        <v>568</v>
      </c>
      <c r="B248" s="12" t="s">
        <v>98</v>
      </c>
      <c r="C248" s="12">
        <v>600</v>
      </c>
      <c r="D248" s="33">
        <v>20000</v>
      </c>
      <c r="E248" s="33">
        <v>20000</v>
      </c>
    </row>
    <row r="249" spans="1:5" ht="84.75" customHeight="1" x14ac:dyDescent="0.3">
      <c r="A249" s="16" t="s">
        <v>540</v>
      </c>
      <c r="B249" s="17" t="s">
        <v>537</v>
      </c>
      <c r="C249" s="17"/>
      <c r="D249" s="32">
        <f>D250</f>
        <v>20000</v>
      </c>
      <c r="E249" s="32">
        <f>E250</f>
        <v>20000</v>
      </c>
    </row>
    <row r="250" spans="1:5" ht="84.75" customHeight="1" x14ac:dyDescent="0.3">
      <c r="A250" s="18" t="s">
        <v>541</v>
      </c>
      <c r="B250" s="19" t="s">
        <v>538</v>
      </c>
      <c r="C250" s="19"/>
      <c r="D250" s="34">
        <f>D251</f>
        <v>20000</v>
      </c>
      <c r="E250" s="34">
        <f>E251</f>
        <v>20000</v>
      </c>
    </row>
    <row r="251" spans="1:5" ht="99.75" customHeight="1" x14ac:dyDescent="0.3">
      <c r="A251" s="20" t="s">
        <v>542</v>
      </c>
      <c r="B251" s="12" t="s">
        <v>539</v>
      </c>
      <c r="C251" s="12">
        <v>300</v>
      </c>
      <c r="D251" s="33">
        <v>20000</v>
      </c>
      <c r="E251" s="33">
        <v>20000</v>
      </c>
    </row>
    <row r="252" spans="1:5" s="3" customFormat="1" ht="128.25" customHeight="1" x14ac:dyDescent="0.3">
      <c r="A252" s="16" t="s">
        <v>339</v>
      </c>
      <c r="B252" s="17" t="s">
        <v>99</v>
      </c>
      <c r="C252" s="17"/>
      <c r="D252" s="13">
        <f t="shared" ref="D252:E253" si="44">D253</f>
        <v>154800</v>
      </c>
      <c r="E252" s="13">
        <f t="shared" si="44"/>
        <v>154800</v>
      </c>
    </row>
    <row r="253" spans="1:5" ht="70.5" customHeight="1" x14ac:dyDescent="0.3">
      <c r="A253" s="18" t="s">
        <v>340</v>
      </c>
      <c r="B253" s="19" t="s">
        <v>100</v>
      </c>
      <c r="C253" s="19"/>
      <c r="D253" s="14">
        <f t="shared" si="44"/>
        <v>154800</v>
      </c>
      <c r="E253" s="14">
        <f t="shared" si="44"/>
        <v>154800</v>
      </c>
    </row>
    <row r="254" spans="1:5" ht="144.75" customHeight="1" x14ac:dyDescent="0.3">
      <c r="A254" s="20" t="s">
        <v>341</v>
      </c>
      <c r="B254" s="12" t="s">
        <v>101</v>
      </c>
      <c r="C254" s="12">
        <v>600</v>
      </c>
      <c r="D254" s="33">
        <v>154800</v>
      </c>
      <c r="E254" s="33">
        <v>154800</v>
      </c>
    </row>
    <row r="255" spans="1:5" ht="90" customHeight="1" x14ac:dyDescent="0.3">
      <c r="A255" s="16" t="s">
        <v>216</v>
      </c>
      <c r="B255" s="17" t="s">
        <v>102</v>
      </c>
      <c r="C255" s="17"/>
      <c r="D255" s="13">
        <f>D256+D273+D281+D270</f>
        <v>55851962.719999999</v>
      </c>
      <c r="E255" s="13">
        <f>E256+E273+E281+E270</f>
        <v>51101605.039999992</v>
      </c>
    </row>
    <row r="256" spans="1:5" ht="93" customHeight="1" x14ac:dyDescent="0.3">
      <c r="A256" s="16" t="s">
        <v>217</v>
      </c>
      <c r="B256" s="17" t="s">
        <v>103</v>
      </c>
      <c r="C256" s="17"/>
      <c r="D256" s="13">
        <f>D257+D259+D263+D267</f>
        <v>45373866.029999994</v>
      </c>
      <c r="E256" s="13">
        <f>E257+E259+E263+E267</f>
        <v>44532417.769999996</v>
      </c>
    </row>
    <row r="257" spans="1:5" s="4" customFormat="1" ht="63" customHeight="1" x14ac:dyDescent="0.3">
      <c r="A257" s="18" t="s">
        <v>105</v>
      </c>
      <c r="B257" s="19" t="s">
        <v>104</v>
      </c>
      <c r="C257" s="19"/>
      <c r="D257" s="14">
        <f t="shared" ref="D257:E257" si="45">D258</f>
        <v>1408869.05</v>
      </c>
      <c r="E257" s="14">
        <f t="shared" si="45"/>
        <v>1408869.05</v>
      </c>
    </row>
    <row r="258" spans="1:5" s="3" customFormat="1" ht="126" customHeight="1" x14ac:dyDescent="0.3">
      <c r="A258" s="20" t="s">
        <v>140</v>
      </c>
      <c r="B258" s="12" t="s">
        <v>106</v>
      </c>
      <c r="C258" s="12">
        <v>100</v>
      </c>
      <c r="D258" s="33">
        <f>1083311.29+325557.76</f>
        <v>1408869.05</v>
      </c>
      <c r="E258" s="33">
        <f>1083311.29+325557.76</f>
        <v>1408869.05</v>
      </c>
    </row>
    <row r="259" spans="1:5" ht="88.5" customHeight="1" x14ac:dyDescent="0.3">
      <c r="A259" s="18" t="s">
        <v>218</v>
      </c>
      <c r="B259" s="19" t="s">
        <v>107</v>
      </c>
      <c r="C259" s="19"/>
      <c r="D259" s="14">
        <f>SUM(D260:D262)</f>
        <v>43481937.479999997</v>
      </c>
      <c r="E259" s="14">
        <f t="shared" ref="E259" si="46">SUM(E260:E262)</f>
        <v>42640489.219999999</v>
      </c>
    </row>
    <row r="260" spans="1:5" ht="150" x14ac:dyDescent="0.3">
      <c r="A260" s="20" t="s">
        <v>219</v>
      </c>
      <c r="B260" s="12" t="s">
        <v>108</v>
      </c>
      <c r="C260" s="12">
        <v>100</v>
      </c>
      <c r="D260" s="33">
        <f>35417825.72+1420292.87+1374041.89+1404961.83+1179303.69+632081.06</f>
        <v>41428507.059999995</v>
      </c>
      <c r="E260" s="33">
        <f>35417825.72+578844.61+1374041.89+1404961.83+1179303.69+632081.06</f>
        <v>40587058.799999997</v>
      </c>
    </row>
    <row r="261" spans="1:5" s="4" customFormat="1" ht="93.75" x14ac:dyDescent="0.3">
      <c r="A261" s="20" t="s">
        <v>420</v>
      </c>
      <c r="B261" s="12" t="s">
        <v>108</v>
      </c>
      <c r="C261" s="12">
        <v>200</v>
      </c>
      <c r="D261" s="33">
        <f>1943430.42+4000+41250</f>
        <v>1988680.42</v>
      </c>
      <c r="E261" s="33">
        <f>1943430.42+4000+3750</f>
        <v>1951180.42</v>
      </c>
    </row>
    <row r="262" spans="1:5" s="3" customFormat="1" ht="75" x14ac:dyDescent="0.3">
      <c r="A262" s="20" t="s">
        <v>220</v>
      </c>
      <c r="B262" s="12" t="s">
        <v>108</v>
      </c>
      <c r="C262" s="12">
        <v>800</v>
      </c>
      <c r="D262" s="33">
        <f>110000-4000-41250</f>
        <v>64750</v>
      </c>
      <c r="E262" s="33">
        <f>110000-4000-3750</f>
        <v>102250</v>
      </c>
    </row>
    <row r="263" spans="1:5" s="4" customFormat="1" ht="66" customHeight="1" x14ac:dyDescent="0.3">
      <c r="A263" s="18" t="s">
        <v>221</v>
      </c>
      <c r="B263" s="19" t="s">
        <v>109</v>
      </c>
      <c r="C263" s="19"/>
      <c r="D263" s="14">
        <f>SUM(D264:D266)</f>
        <v>63500</v>
      </c>
      <c r="E263" s="14">
        <f>SUM(E264:E266)</f>
        <v>63500</v>
      </c>
    </row>
    <row r="264" spans="1:5" s="4" customFormat="1" ht="123" customHeight="1" x14ac:dyDescent="0.3">
      <c r="A264" s="20" t="s">
        <v>222</v>
      </c>
      <c r="B264" s="12" t="s">
        <v>110</v>
      </c>
      <c r="C264" s="12">
        <v>200</v>
      </c>
      <c r="D264" s="33">
        <v>8000</v>
      </c>
      <c r="E264" s="33">
        <v>8000</v>
      </c>
    </row>
    <row r="265" spans="1:5" s="3" customFormat="1" ht="125.25" customHeight="1" x14ac:dyDescent="0.3">
      <c r="A265" s="26" t="s">
        <v>223</v>
      </c>
      <c r="B265" s="12" t="s">
        <v>136</v>
      </c>
      <c r="C265" s="12">
        <v>200</v>
      </c>
      <c r="D265" s="33">
        <v>54000</v>
      </c>
      <c r="E265" s="33">
        <v>54000</v>
      </c>
    </row>
    <row r="266" spans="1:5" ht="102.75" customHeight="1" x14ac:dyDescent="0.3">
      <c r="A266" s="20" t="s">
        <v>224</v>
      </c>
      <c r="B266" s="12" t="s">
        <v>111</v>
      </c>
      <c r="C266" s="12">
        <v>200</v>
      </c>
      <c r="D266" s="33">
        <v>1500</v>
      </c>
      <c r="E266" s="33">
        <v>1500</v>
      </c>
    </row>
    <row r="267" spans="1:5" ht="66" customHeight="1" x14ac:dyDescent="0.3">
      <c r="A267" s="18" t="s">
        <v>113</v>
      </c>
      <c r="B267" s="19" t="s">
        <v>112</v>
      </c>
      <c r="C267" s="19"/>
      <c r="D267" s="14">
        <f>SUM(D268:D269)</f>
        <v>419559.5</v>
      </c>
      <c r="E267" s="14">
        <f>SUM(E268:E269)</f>
        <v>419559.5</v>
      </c>
    </row>
    <row r="268" spans="1:5" ht="89.25" customHeight="1" x14ac:dyDescent="0.3">
      <c r="A268" s="20" t="s">
        <v>168</v>
      </c>
      <c r="B268" s="12" t="s">
        <v>114</v>
      </c>
      <c r="C268" s="12">
        <v>200</v>
      </c>
      <c r="D268" s="33">
        <v>11125.5</v>
      </c>
      <c r="E268" s="33">
        <v>11125.5</v>
      </c>
    </row>
    <row r="269" spans="1:5" ht="146.25" customHeight="1" x14ac:dyDescent="0.3">
      <c r="A269" s="20" t="s">
        <v>169</v>
      </c>
      <c r="B269" s="12" t="s">
        <v>115</v>
      </c>
      <c r="C269" s="12">
        <v>100</v>
      </c>
      <c r="D269" s="5">
        <v>408434</v>
      </c>
      <c r="E269" s="5">
        <v>408434</v>
      </c>
    </row>
    <row r="270" spans="1:5" ht="130.5" customHeight="1" x14ac:dyDescent="0.3">
      <c r="A270" s="23" t="s">
        <v>560</v>
      </c>
      <c r="B270" s="17" t="s">
        <v>561</v>
      </c>
      <c r="C270" s="12"/>
      <c r="D270" s="13">
        <f>D271</f>
        <v>3908909.42</v>
      </c>
      <c r="E270" s="13">
        <f>E271</f>
        <v>0</v>
      </c>
    </row>
    <row r="271" spans="1:5" ht="98.25" customHeight="1" x14ac:dyDescent="0.3">
      <c r="A271" s="18" t="s">
        <v>562</v>
      </c>
      <c r="B271" s="19" t="s">
        <v>563</v>
      </c>
      <c r="C271" s="12"/>
      <c r="D271" s="14">
        <f>D272</f>
        <v>3908909.42</v>
      </c>
      <c r="E271" s="14">
        <f>E272</f>
        <v>0</v>
      </c>
    </row>
    <row r="272" spans="1:5" ht="110.25" customHeight="1" x14ac:dyDescent="0.3">
      <c r="A272" s="20" t="s">
        <v>564</v>
      </c>
      <c r="B272" s="12" t="s">
        <v>565</v>
      </c>
      <c r="C272" s="12">
        <v>600</v>
      </c>
      <c r="D272" s="5">
        <f>3850482.69+25776.48+8530.8+24119.45</f>
        <v>3908909.42</v>
      </c>
      <c r="E272" s="5">
        <v>0</v>
      </c>
    </row>
    <row r="273" spans="1:5" ht="56.25" x14ac:dyDescent="0.3">
      <c r="A273" s="23" t="s">
        <v>298</v>
      </c>
      <c r="B273" s="17" t="s">
        <v>299</v>
      </c>
      <c r="C273" s="17"/>
      <c r="D273" s="13">
        <f t="shared" ref="D273:E273" si="47">D274+D278</f>
        <v>320404</v>
      </c>
      <c r="E273" s="13">
        <f t="shared" si="47"/>
        <v>320404</v>
      </c>
    </row>
    <row r="274" spans="1:5" ht="68.25" customHeight="1" x14ac:dyDescent="0.3">
      <c r="A274" s="21" t="s">
        <v>300</v>
      </c>
      <c r="B274" s="19" t="s">
        <v>301</v>
      </c>
      <c r="C274" s="19"/>
      <c r="D274" s="14">
        <f>SUM(D275:D277)</f>
        <v>120404</v>
      </c>
      <c r="E274" s="14">
        <f t="shared" ref="E274" si="48">SUM(E275:E277)</f>
        <v>120404</v>
      </c>
    </row>
    <row r="275" spans="1:5" s="3" customFormat="1" ht="105.75" customHeight="1" x14ac:dyDescent="0.3">
      <c r="A275" s="11" t="s">
        <v>302</v>
      </c>
      <c r="B275" s="12" t="s">
        <v>303</v>
      </c>
      <c r="C275" s="12">
        <v>200</v>
      </c>
      <c r="D275" s="33">
        <v>40450</v>
      </c>
      <c r="E275" s="33">
        <v>40450</v>
      </c>
    </row>
    <row r="276" spans="1:5" ht="122.25" customHeight="1" x14ac:dyDescent="0.3">
      <c r="A276" s="11" t="s">
        <v>304</v>
      </c>
      <c r="B276" s="12" t="s">
        <v>305</v>
      </c>
      <c r="C276" s="12">
        <v>200</v>
      </c>
      <c r="D276" s="33">
        <v>65000</v>
      </c>
      <c r="E276" s="33">
        <v>65000</v>
      </c>
    </row>
    <row r="277" spans="1:5" s="3" customFormat="1" ht="99.75" customHeight="1" x14ac:dyDescent="0.3">
      <c r="A277" s="11" t="s">
        <v>306</v>
      </c>
      <c r="B277" s="12" t="s">
        <v>307</v>
      </c>
      <c r="C277" s="12">
        <v>200</v>
      </c>
      <c r="D277" s="33">
        <v>14954</v>
      </c>
      <c r="E277" s="33">
        <v>14954</v>
      </c>
    </row>
    <row r="278" spans="1:5" ht="45.75" customHeight="1" x14ac:dyDescent="0.3">
      <c r="A278" s="21" t="s">
        <v>308</v>
      </c>
      <c r="B278" s="19" t="s">
        <v>309</v>
      </c>
      <c r="C278" s="12"/>
      <c r="D278" s="14">
        <f t="shared" ref="D278:E278" si="49">SUM(D279:D280)</f>
        <v>200000</v>
      </c>
      <c r="E278" s="14">
        <f t="shared" si="49"/>
        <v>200000</v>
      </c>
    </row>
    <row r="279" spans="1:5" ht="82.5" customHeight="1" x14ac:dyDescent="0.3">
      <c r="A279" s="11" t="s">
        <v>310</v>
      </c>
      <c r="B279" s="12" t="s">
        <v>311</v>
      </c>
      <c r="C279" s="12">
        <v>200</v>
      </c>
      <c r="D279" s="33">
        <v>150000</v>
      </c>
      <c r="E279" s="33">
        <v>150000</v>
      </c>
    </row>
    <row r="280" spans="1:5" ht="67.5" customHeight="1" x14ac:dyDescent="0.3">
      <c r="A280" s="11" t="s">
        <v>444</v>
      </c>
      <c r="B280" s="12" t="s">
        <v>443</v>
      </c>
      <c r="C280" s="12">
        <v>200</v>
      </c>
      <c r="D280" s="33">
        <v>50000</v>
      </c>
      <c r="E280" s="33">
        <v>50000</v>
      </c>
    </row>
    <row r="281" spans="1:5" ht="95.25" customHeight="1" x14ac:dyDescent="0.3">
      <c r="A281" s="23" t="s">
        <v>465</v>
      </c>
      <c r="B281" s="17" t="s">
        <v>466</v>
      </c>
      <c r="C281" s="17"/>
      <c r="D281" s="13">
        <f t="shared" ref="D281:E281" si="50">D282</f>
        <v>6248783.2699999996</v>
      </c>
      <c r="E281" s="13">
        <f t="shared" si="50"/>
        <v>6248783.2699999996</v>
      </c>
    </row>
    <row r="282" spans="1:5" ht="51.75" customHeight="1" x14ac:dyDescent="0.3">
      <c r="A282" s="21" t="s">
        <v>467</v>
      </c>
      <c r="B282" s="19" t="s">
        <v>468</v>
      </c>
      <c r="C282" s="19"/>
      <c r="D282" s="14">
        <f t="shared" ref="D282:E282" si="51">SUM(D283:D284)</f>
        <v>6248783.2699999996</v>
      </c>
      <c r="E282" s="14">
        <f t="shared" si="51"/>
        <v>6248783.2699999996</v>
      </c>
    </row>
    <row r="283" spans="1:5" ht="165.75" customHeight="1" x14ac:dyDescent="0.3">
      <c r="A283" s="11" t="s">
        <v>469</v>
      </c>
      <c r="B283" s="12" t="s">
        <v>470</v>
      </c>
      <c r="C283" s="12">
        <v>100</v>
      </c>
      <c r="D283" s="33">
        <f>4428154.93+1320628.34</f>
        <v>5748783.2699999996</v>
      </c>
      <c r="E283" s="33">
        <f>4428154.93+1320628.34</f>
        <v>5748783.2699999996</v>
      </c>
    </row>
    <row r="284" spans="1:5" ht="102.75" customHeight="1" x14ac:dyDescent="0.3">
      <c r="A284" s="11" t="s">
        <v>471</v>
      </c>
      <c r="B284" s="12" t="s">
        <v>470</v>
      </c>
      <c r="C284" s="12">
        <v>200</v>
      </c>
      <c r="D284" s="33">
        <v>500000</v>
      </c>
      <c r="E284" s="33">
        <v>500000</v>
      </c>
    </row>
    <row r="285" spans="1:5" ht="82.5" customHeight="1" x14ac:dyDescent="0.3">
      <c r="A285" s="16" t="s">
        <v>117</v>
      </c>
      <c r="B285" s="17" t="s">
        <v>116</v>
      </c>
      <c r="C285" s="17"/>
      <c r="D285" s="13">
        <f t="shared" ref="D285:E285" si="52">D286+D291+D295</f>
        <v>119400</v>
      </c>
      <c r="E285" s="13">
        <f t="shared" si="52"/>
        <v>119400</v>
      </c>
    </row>
    <row r="286" spans="1:5" ht="67.5" customHeight="1" x14ac:dyDescent="0.3">
      <c r="A286" s="16" t="s">
        <v>119</v>
      </c>
      <c r="B286" s="17" t="s">
        <v>118</v>
      </c>
      <c r="C286" s="17"/>
      <c r="D286" s="13">
        <f t="shared" ref="D286:E286" si="53">D287</f>
        <v>89400</v>
      </c>
      <c r="E286" s="13">
        <f t="shared" si="53"/>
        <v>89400</v>
      </c>
    </row>
    <row r="287" spans="1:5" ht="44.25" customHeight="1" x14ac:dyDescent="0.3">
      <c r="A287" s="18" t="s">
        <v>121</v>
      </c>
      <c r="B287" s="19" t="s">
        <v>120</v>
      </c>
      <c r="C287" s="19"/>
      <c r="D287" s="14">
        <f t="shared" ref="D287:E287" si="54">SUM(D288:D290)</f>
        <v>89400</v>
      </c>
      <c r="E287" s="14">
        <f t="shared" si="54"/>
        <v>89400</v>
      </c>
    </row>
    <row r="288" spans="1:5" s="3" customFormat="1" ht="75" x14ac:dyDescent="0.3">
      <c r="A288" s="20" t="s">
        <v>402</v>
      </c>
      <c r="B288" s="12" t="s">
        <v>403</v>
      </c>
      <c r="C288" s="12">
        <v>200</v>
      </c>
      <c r="D288" s="33">
        <v>64400</v>
      </c>
      <c r="E288" s="33">
        <v>64400</v>
      </c>
    </row>
    <row r="289" spans="1:5" ht="93.75" x14ac:dyDescent="0.3">
      <c r="A289" s="20" t="s">
        <v>404</v>
      </c>
      <c r="B289" s="12" t="s">
        <v>403</v>
      </c>
      <c r="C289" s="12">
        <v>600</v>
      </c>
      <c r="D289" s="33">
        <v>10000</v>
      </c>
      <c r="E289" s="33">
        <v>10000</v>
      </c>
    </row>
    <row r="290" spans="1:5" ht="93.75" x14ac:dyDescent="0.3">
      <c r="A290" s="20" t="s">
        <v>473</v>
      </c>
      <c r="B290" s="12" t="s">
        <v>474</v>
      </c>
      <c r="C290" s="12">
        <v>200</v>
      </c>
      <c r="D290" s="33">
        <v>15000</v>
      </c>
      <c r="E290" s="33">
        <v>15000</v>
      </c>
    </row>
    <row r="291" spans="1:5" s="4" customFormat="1" ht="37.5" x14ac:dyDescent="0.3">
      <c r="A291" s="16" t="s">
        <v>123</v>
      </c>
      <c r="B291" s="17" t="s">
        <v>122</v>
      </c>
      <c r="C291" s="17"/>
      <c r="D291" s="13">
        <f t="shared" ref="D291:E291" si="55">D292</f>
        <v>20000</v>
      </c>
      <c r="E291" s="13">
        <f t="shared" si="55"/>
        <v>20000</v>
      </c>
    </row>
    <row r="292" spans="1:5" s="4" customFormat="1" ht="47.25" customHeight="1" x14ac:dyDescent="0.3">
      <c r="A292" s="18" t="s">
        <v>421</v>
      </c>
      <c r="B292" s="19" t="s">
        <v>124</v>
      </c>
      <c r="C292" s="19"/>
      <c r="D292" s="14">
        <f t="shared" ref="D292:E292" si="56">SUM(D293:D294)</f>
        <v>20000</v>
      </c>
      <c r="E292" s="14">
        <f t="shared" si="56"/>
        <v>20000</v>
      </c>
    </row>
    <row r="293" spans="1:5" s="3" customFormat="1" ht="103.5" customHeight="1" x14ac:dyDescent="0.3">
      <c r="A293" s="20" t="s">
        <v>162</v>
      </c>
      <c r="B293" s="12" t="s">
        <v>125</v>
      </c>
      <c r="C293" s="12">
        <v>200</v>
      </c>
      <c r="D293" s="33">
        <v>10000</v>
      </c>
      <c r="E293" s="33">
        <v>10000</v>
      </c>
    </row>
    <row r="294" spans="1:5" ht="100.5" customHeight="1" x14ac:dyDescent="0.3">
      <c r="A294" s="20" t="s">
        <v>405</v>
      </c>
      <c r="B294" s="12" t="s">
        <v>406</v>
      </c>
      <c r="C294" s="12">
        <v>200</v>
      </c>
      <c r="D294" s="33">
        <v>10000</v>
      </c>
      <c r="E294" s="33">
        <v>10000</v>
      </c>
    </row>
    <row r="295" spans="1:5" ht="46.5" customHeight="1" x14ac:dyDescent="0.3">
      <c r="A295" s="16" t="s">
        <v>407</v>
      </c>
      <c r="B295" s="17" t="s">
        <v>408</v>
      </c>
      <c r="C295" s="17"/>
      <c r="D295" s="13">
        <f t="shared" ref="D295:E296" si="57">D296</f>
        <v>10000</v>
      </c>
      <c r="E295" s="13">
        <f t="shared" si="57"/>
        <v>10000</v>
      </c>
    </row>
    <row r="296" spans="1:5" ht="48.75" customHeight="1" x14ac:dyDescent="0.3">
      <c r="A296" s="18" t="s">
        <v>409</v>
      </c>
      <c r="B296" s="19" t="s">
        <v>410</v>
      </c>
      <c r="C296" s="19"/>
      <c r="D296" s="14">
        <f t="shared" si="57"/>
        <v>10000</v>
      </c>
      <c r="E296" s="14">
        <f t="shared" si="57"/>
        <v>10000</v>
      </c>
    </row>
    <row r="297" spans="1:5" ht="100.5" customHeight="1" x14ac:dyDescent="0.3">
      <c r="A297" s="20" t="s">
        <v>411</v>
      </c>
      <c r="B297" s="12" t="s">
        <v>412</v>
      </c>
      <c r="C297" s="12">
        <v>200</v>
      </c>
      <c r="D297" s="33">
        <v>10000</v>
      </c>
      <c r="E297" s="33">
        <v>10000</v>
      </c>
    </row>
    <row r="298" spans="1:5" s="3" customFormat="1" ht="112.5" x14ac:dyDescent="0.3">
      <c r="A298" s="23" t="s">
        <v>330</v>
      </c>
      <c r="B298" s="17" t="s">
        <v>312</v>
      </c>
      <c r="C298" s="12"/>
      <c r="D298" s="13">
        <f t="shared" ref="D298:E298" si="58">D299</f>
        <v>13500</v>
      </c>
      <c r="E298" s="13">
        <f t="shared" si="58"/>
        <v>13500</v>
      </c>
    </row>
    <row r="299" spans="1:5" ht="47.25" customHeight="1" x14ac:dyDescent="0.3">
      <c r="A299" s="16" t="s">
        <v>327</v>
      </c>
      <c r="B299" s="17" t="s">
        <v>313</v>
      </c>
      <c r="C299" s="17"/>
      <c r="D299" s="13">
        <f t="shared" ref="D299:E299" si="59">D300+D302</f>
        <v>13500</v>
      </c>
      <c r="E299" s="13">
        <f t="shared" si="59"/>
        <v>13500</v>
      </c>
    </row>
    <row r="300" spans="1:5" ht="63" customHeight="1" x14ac:dyDescent="0.3">
      <c r="A300" s="21" t="s">
        <v>329</v>
      </c>
      <c r="B300" s="19" t="s">
        <v>314</v>
      </c>
      <c r="C300" s="12"/>
      <c r="D300" s="14">
        <f t="shared" ref="D300:E300" si="60">SUM(D301)</f>
        <v>12000</v>
      </c>
      <c r="E300" s="14">
        <f t="shared" si="60"/>
        <v>12000</v>
      </c>
    </row>
    <row r="301" spans="1:5" ht="104.25" customHeight="1" x14ac:dyDescent="0.3">
      <c r="A301" s="11" t="s">
        <v>315</v>
      </c>
      <c r="B301" s="12" t="s">
        <v>316</v>
      </c>
      <c r="C301" s="12">
        <v>200</v>
      </c>
      <c r="D301" s="33">
        <v>12000</v>
      </c>
      <c r="E301" s="33">
        <v>12000</v>
      </c>
    </row>
    <row r="302" spans="1:5" ht="168.75" x14ac:dyDescent="0.3">
      <c r="A302" s="21" t="s">
        <v>317</v>
      </c>
      <c r="B302" s="19" t="s">
        <v>318</v>
      </c>
      <c r="C302" s="12"/>
      <c r="D302" s="14">
        <f t="shared" ref="D302:E302" si="61">D303</f>
        <v>1500</v>
      </c>
      <c r="E302" s="14">
        <f t="shared" si="61"/>
        <v>1500</v>
      </c>
    </row>
    <row r="303" spans="1:5" s="4" customFormat="1" ht="120" customHeight="1" x14ac:dyDescent="0.3">
      <c r="A303" s="11" t="s">
        <v>328</v>
      </c>
      <c r="B303" s="12" t="s">
        <v>319</v>
      </c>
      <c r="C303" s="12">
        <v>200</v>
      </c>
      <c r="D303" s="33">
        <v>1500</v>
      </c>
      <c r="E303" s="33">
        <v>1500</v>
      </c>
    </row>
    <row r="304" spans="1:5" ht="81" customHeight="1" x14ac:dyDescent="0.3">
      <c r="A304" s="23" t="s">
        <v>342</v>
      </c>
      <c r="B304" s="17" t="s">
        <v>320</v>
      </c>
      <c r="C304" s="12"/>
      <c r="D304" s="13">
        <f t="shared" ref="D304:E304" si="62">D305+D308</f>
        <v>177260</v>
      </c>
      <c r="E304" s="13">
        <f t="shared" si="62"/>
        <v>177260</v>
      </c>
    </row>
    <row r="305" spans="1:5" ht="46.5" customHeight="1" x14ac:dyDescent="0.3">
      <c r="A305" s="16" t="s">
        <v>197</v>
      </c>
      <c r="B305" s="17" t="s">
        <v>321</v>
      </c>
      <c r="C305" s="12"/>
      <c r="D305" s="13">
        <f t="shared" ref="D305:E305" si="63">D306</f>
        <v>140000</v>
      </c>
      <c r="E305" s="13">
        <f t="shared" si="63"/>
        <v>140000</v>
      </c>
    </row>
    <row r="306" spans="1:5" ht="45" customHeight="1" x14ac:dyDescent="0.3">
      <c r="A306" s="18" t="s">
        <v>198</v>
      </c>
      <c r="B306" s="19" t="s">
        <v>322</v>
      </c>
      <c r="C306" s="12"/>
      <c r="D306" s="14">
        <f t="shared" ref="D306:E306" si="64">SUM(D307:D307)</f>
        <v>140000</v>
      </c>
      <c r="E306" s="14">
        <f t="shared" si="64"/>
        <v>140000</v>
      </c>
    </row>
    <row r="307" spans="1:5" ht="56.25" x14ac:dyDescent="0.3">
      <c r="A307" s="20" t="s">
        <v>387</v>
      </c>
      <c r="B307" s="12" t="s">
        <v>446</v>
      </c>
      <c r="C307" s="12">
        <v>300</v>
      </c>
      <c r="D307" s="33">
        <v>140000</v>
      </c>
      <c r="E307" s="33">
        <v>140000</v>
      </c>
    </row>
    <row r="308" spans="1:5" ht="64.5" customHeight="1" x14ac:dyDescent="0.3">
      <c r="A308" s="16" t="s">
        <v>199</v>
      </c>
      <c r="B308" s="17" t="s">
        <v>323</v>
      </c>
      <c r="C308" s="12"/>
      <c r="D308" s="13">
        <f t="shared" ref="D308:E308" si="65">D309</f>
        <v>37260</v>
      </c>
      <c r="E308" s="13">
        <f t="shared" si="65"/>
        <v>37260</v>
      </c>
    </row>
    <row r="309" spans="1:5" ht="63.75" customHeight="1" x14ac:dyDescent="0.3">
      <c r="A309" s="18" t="s">
        <v>200</v>
      </c>
      <c r="B309" s="19" t="s">
        <v>324</v>
      </c>
      <c r="C309" s="12"/>
      <c r="D309" s="14">
        <f t="shared" ref="D309:E309" si="66">SUM(D310:D310)</f>
        <v>37260</v>
      </c>
      <c r="E309" s="14">
        <f t="shared" si="66"/>
        <v>37260</v>
      </c>
    </row>
    <row r="310" spans="1:5" ht="141" customHeight="1" x14ac:dyDescent="0.3">
      <c r="A310" s="11" t="s">
        <v>422</v>
      </c>
      <c r="B310" s="12" t="s">
        <v>447</v>
      </c>
      <c r="C310" s="12">
        <v>300</v>
      </c>
      <c r="D310" s="33">
        <v>37260</v>
      </c>
      <c r="E310" s="33">
        <v>37260</v>
      </c>
    </row>
    <row r="311" spans="1:5" ht="84" customHeight="1" x14ac:dyDescent="0.3">
      <c r="A311" s="23" t="s">
        <v>355</v>
      </c>
      <c r="B311" s="17" t="s">
        <v>358</v>
      </c>
      <c r="C311" s="17"/>
      <c r="D311" s="13">
        <f t="shared" ref="D311:E312" si="67">D312</f>
        <v>216300</v>
      </c>
      <c r="E311" s="13">
        <f t="shared" si="67"/>
        <v>216300</v>
      </c>
    </row>
    <row r="312" spans="1:5" ht="75.75" customHeight="1" x14ac:dyDescent="0.3">
      <c r="A312" s="23" t="s">
        <v>356</v>
      </c>
      <c r="B312" s="17" t="s">
        <v>359</v>
      </c>
      <c r="C312" s="17"/>
      <c r="D312" s="13">
        <f t="shared" si="67"/>
        <v>216300</v>
      </c>
      <c r="E312" s="13">
        <f t="shared" si="67"/>
        <v>216300</v>
      </c>
    </row>
    <row r="313" spans="1:5" ht="52.5" customHeight="1" x14ac:dyDescent="0.3">
      <c r="A313" s="21" t="s">
        <v>357</v>
      </c>
      <c r="B313" s="19" t="s">
        <v>360</v>
      </c>
      <c r="C313" s="19"/>
      <c r="D313" s="14">
        <f t="shared" ref="D313:E313" si="68">SUM(D314:D316)</f>
        <v>216300</v>
      </c>
      <c r="E313" s="14">
        <f t="shared" si="68"/>
        <v>216300</v>
      </c>
    </row>
    <row r="314" spans="1:5" ht="85.5" customHeight="1" x14ac:dyDescent="0.3">
      <c r="A314" s="11" t="s">
        <v>363</v>
      </c>
      <c r="B314" s="12" t="s">
        <v>361</v>
      </c>
      <c r="C314" s="12">
        <v>200</v>
      </c>
      <c r="D314" s="33">
        <v>1000</v>
      </c>
      <c r="E314" s="33">
        <v>1000</v>
      </c>
    </row>
    <row r="315" spans="1:5" ht="90" customHeight="1" x14ac:dyDescent="0.3">
      <c r="A315" s="11" t="s">
        <v>364</v>
      </c>
      <c r="B315" s="12" t="s">
        <v>362</v>
      </c>
      <c r="C315" s="12">
        <v>200</v>
      </c>
      <c r="D315" s="33">
        <f>162300-11000</f>
        <v>151300</v>
      </c>
      <c r="E315" s="33">
        <f>162300-11000</f>
        <v>151300</v>
      </c>
    </row>
    <row r="316" spans="1:5" ht="84" customHeight="1" x14ac:dyDescent="0.3">
      <c r="A316" s="11" t="s">
        <v>365</v>
      </c>
      <c r="B316" s="12" t="s">
        <v>362</v>
      </c>
      <c r="C316" s="12">
        <v>600</v>
      </c>
      <c r="D316" s="33">
        <f>53000+11000</f>
        <v>64000</v>
      </c>
      <c r="E316" s="33">
        <f>53000+11000</f>
        <v>64000</v>
      </c>
    </row>
    <row r="317" spans="1:5" ht="49.5" customHeight="1" x14ac:dyDescent="0.3">
      <c r="A317" s="23" t="s">
        <v>398</v>
      </c>
      <c r="B317" s="17" t="s">
        <v>399</v>
      </c>
      <c r="C317" s="12"/>
      <c r="D317" s="13">
        <f t="shared" ref="D317:E317" si="69">D318</f>
        <v>6433501.2599999998</v>
      </c>
      <c r="E317" s="13">
        <f t="shared" si="69"/>
        <v>6433501.2599999998</v>
      </c>
    </row>
    <row r="318" spans="1:5" s="4" customFormat="1" ht="94.5" customHeight="1" x14ac:dyDescent="0.3">
      <c r="A318" s="16" t="s">
        <v>375</v>
      </c>
      <c r="B318" s="17" t="s">
        <v>126</v>
      </c>
      <c r="C318" s="17"/>
      <c r="D318" s="13">
        <f>SUM(D319:D333)</f>
        <v>6433501.2599999998</v>
      </c>
      <c r="E318" s="13">
        <f t="shared" ref="E318" si="70">SUM(E319:E333)</f>
        <v>6433501.2599999998</v>
      </c>
    </row>
    <row r="319" spans="1:5" s="4" customFormat="1" ht="123" customHeight="1" x14ac:dyDescent="0.3">
      <c r="A319" s="20" t="s">
        <v>225</v>
      </c>
      <c r="B319" s="12" t="s">
        <v>127</v>
      </c>
      <c r="C319" s="12">
        <v>100</v>
      </c>
      <c r="D319" s="33">
        <f>1392518.3+94031.48</f>
        <v>1486549.78</v>
      </c>
      <c r="E319" s="33">
        <f>1392518.3+94031.48</f>
        <v>1486549.78</v>
      </c>
    </row>
    <row r="320" spans="1:5" s="4" customFormat="1" ht="81.75" customHeight="1" x14ac:dyDescent="0.3">
      <c r="A320" s="20" t="s">
        <v>226</v>
      </c>
      <c r="B320" s="12" t="s">
        <v>127</v>
      </c>
      <c r="C320" s="12">
        <v>200</v>
      </c>
      <c r="D320" s="33">
        <v>366446</v>
      </c>
      <c r="E320" s="33">
        <v>366446</v>
      </c>
    </row>
    <row r="321" spans="1:5" ht="63.75" customHeight="1" x14ac:dyDescent="0.3">
      <c r="A321" s="20" t="s">
        <v>227</v>
      </c>
      <c r="B321" s="12" t="s">
        <v>127</v>
      </c>
      <c r="C321" s="12">
        <v>800</v>
      </c>
      <c r="D321" s="33">
        <v>6000</v>
      </c>
      <c r="E321" s="33">
        <v>6000</v>
      </c>
    </row>
    <row r="322" spans="1:5" ht="141.75" customHeight="1" x14ac:dyDescent="0.3">
      <c r="A322" s="20" t="s">
        <v>228</v>
      </c>
      <c r="B322" s="12" t="s">
        <v>128</v>
      </c>
      <c r="C322" s="12">
        <v>100</v>
      </c>
      <c r="D322" s="33">
        <v>72000</v>
      </c>
      <c r="E322" s="33">
        <v>72000</v>
      </c>
    </row>
    <row r="323" spans="1:5" ht="145.5" customHeight="1" x14ac:dyDescent="0.3">
      <c r="A323" s="20" t="s">
        <v>141</v>
      </c>
      <c r="B323" s="12" t="s">
        <v>129</v>
      </c>
      <c r="C323" s="12">
        <v>100</v>
      </c>
      <c r="D323" s="33">
        <f>1235913.34+231369.13</f>
        <v>1467282.4700000002</v>
      </c>
      <c r="E323" s="33">
        <f>1235913.34+231369.13</f>
        <v>1467282.4700000002</v>
      </c>
    </row>
    <row r="324" spans="1:5" ht="83.25" customHeight="1" x14ac:dyDescent="0.3">
      <c r="A324" s="20" t="s">
        <v>229</v>
      </c>
      <c r="B324" s="12" t="s">
        <v>129</v>
      </c>
      <c r="C324" s="12">
        <v>200</v>
      </c>
      <c r="D324" s="33">
        <v>170532.63</v>
      </c>
      <c r="E324" s="33">
        <v>170532.63</v>
      </c>
    </row>
    <row r="325" spans="1:5" ht="131.25" x14ac:dyDescent="0.3">
      <c r="A325" s="20" t="s">
        <v>142</v>
      </c>
      <c r="B325" s="12" t="s">
        <v>130</v>
      </c>
      <c r="C325" s="12">
        <v>100</v>
      </c>
      <c r="D325" s="33">
        <f>710095.8+259892.11</f>
        <v>969987.91</v>
      </c>
      <c r="E325" s="33">
        <f>710095.8+259892.11</f>
        <v>969987.91</v>
      </c>
    </row>
    <row r="326" spans="1:5" ht="168.75" x14ac:dyDescent="0.3">
      <c r="A326" s="20" t="s">
        <v>476</v>
      </c>
      <c r="B326" s="12" t="s">
        <v>477</v>
      </c>
      <c r="C326" s="12">
        <v>100</v>
      </c>
      <c r="D326" s="33">
        <f>237572.4+14137.01+43854.59+15384</f>
        <v>310948</v>
      </c>
      <c r="E326" s="33">
        <f>251709.41+43854.59+15384</f>
        <v>310948</v>
      </c>
    </row>
    <row r="327" spans="1:5" ht="120.75" customHeight="1" x14ac:dyDescent="0.3">
      <c r="A327" s="11" t="s">
        <v>143</v>
      </c>
      <c r="B327" s="12" t="s">
        <v>135</v>
      </c>
      <c r="C327" s="12">
        <v>100</v>
      </c>
      <c r="D327" s="33">
        <f>1036443.5+346210.97</f>
        <v>1382654.47</v>
      </c>
      <c r="E327" s="33">
        <f>1036443.5+346210.97</f>
        <v>1382654.47</v>
      </c>
    </row>
    <row r="328" spans="1:5" ht="1.5" hidden="1" customHeight="1" x14ac:dyDescent="0.3">
      <c r="A328" s="11" t="s">
        <v>478</v>
      </c>
      <c r="B328" s="12" t="s">
        <v>479</v>
      </c>
      <c r="C328" s="12">
        <v>100</v>
      </c>
      <c r="D328" s="33">
        <v>0</v>
      </c>
      <c r="E328" s="33">
        <v>0</v>
      </c>
    </row>
    <row r="329" spans="1:5" ht="130.5" customHeight="1" x14ac:dyDescent="0.3">
      <c r="A329" s="11" t="s">
        <v>570</v>
      </c>
      <c r="B329" s="12" t="s">
        <v>571</v>
      </c>
      <c r="C329" s="12">
        <v>200</v>
      </c>
      <c r="D329" s="33">
        <v>3600</v>
      </c>
      <c r="E329" s="33">
        <v>3600</v>
      </c>
    </row>
    <row r="330" spans="1:5" ht="168" customHeight="1" x14ac:dyDescent="0.3">
      <c r="A330" s="11" t="s">
        <v>478</v>
      </c>
      <c r="B330" s="12" t="s">
        <v>479</v>
      </c>
      <c r="C330" s="12">
        <v>100</v>
      </c>
      <c r="D330" s="33">
        <f>44246.65+2661.35+2467</f>
        <v>49375</v>
      </c>
      <c r="E330" s="33">
        <f>44246.65+2661.35+2467</f>
        <v>49375</v>
      </c>
    </row>
    <row r="331" spans="1:5" ht="162" customHeight="1" x14ac:dyDescent="0.3">
      <c r="A331" s="11" t="s">
        <v>480</v>
      </c>
      <c r="B331" s="12" t="s">
        <v>481</v>
      </c>
      <c r="C331" s="12">
        <v>100</v>
      </c>
      <c r="D331" s="33">
        <f>43087+1159.65+2661.35+2467</f>
        <v>49375</v>
      </c>
      <c r="E331" s="33">
        <f>44246.65+2661.35+2467</f>
        <v>49375</v>
      </c>
    </row>
    <row r="332" spans="1:5" ht="156" customHeight="1" x14ac:dyDescent="0.3">
      <c r="A332" s="11" t="s">
        <v>482</v>
      </c>
      <c r="B332" s="12" t="s">
        <v>483</v>
      </c>
      <c r="C332" s="12">
        <v>100</v>
      </c>
      <c r="D332" s="33">
        <f>43087+1159.65+2661.35+2467</f>
        <v>49375</v>
      </c>
      <c r="E332" s="33">
        <f>44246.65+2661.35+2467</f>
        <v>49375</v>
      </c>
    </row>
    <row r="333" spans="1:5" ht="158.25" customHeight="1" x14ac:dyDescent="0.3">
      <c r="A333" s="11" t="s">
        <v>484</v>
      </c>
      <c r="B333" s="12" t="s">
        <v>485</v>
      </c>
      <c r="C333" s="12">
        <v>100</v>
      </c>
      <c r="D333" s="33">
        <f>43087+1159.65+2661.35+2467</f>
        <v>49375</v>
      </c>
      <c r="E333" s="33">
        <f>44246.65+2661.35+2467</f>
        <v>49375</v>
      </c>
    </row>
    <row r="334" spans="1:5" ht="70.5" customHeight="1" x14ac:dyDescent="0.3">
      <c r="A334" s="23" t="s">
        <v>400</v>
      </c>
      <c r="B334" s="17" t="s">
        <v>401</v>
      </c>
      <c r="C334" s="12"/>
      <c r="D334" s="13">
        <f t="shared" ref="D334:E334" si="71">D335</f>
        <v>1423244.7600000002</v>
      </c>
      <c r="E334" s="13">
        <f t="shared" si="71"/>
        <v>938294.19000000006</v>
      </c>
    </row>
    <row r="335" spans="1:5" ht="77.25" customHeight="1" x14ac:dyDescent="0.3">
      <c r="A335" s="16" t="s">
        <v>332</v>
      </c>
      <c r="B335" s="17" t="s">
        <v>333</v>
      </c>
      <c r="C335" s="17"/>
      <c r="D335" s="13">
        <f>SUM(D336:D340)</f>
        <v>1423244.7600000002</v>
      </c>
      <c r="E335" s="13">
        <f>SUM(E336:E340)</f>
        <v>938294.19000000006</v>
      </c>
    </row>
    <row r="336" spans="1:5" ht="69.75" customHeight="1" x14ac:dyDescent="0.3">
      <c r="A336" s="20" t="s">
        <v>544</v>
      </c>
      <c r="B336" s="12" t="s">
        <v>543</v>
      </c>
      <c r="C336" s="12">
        <v>200</v>
      </c>
      <c r="D336" s="5">
        <v>771748.52</v>
      </c>
      <c r="E336" s="5">
        <v>771748.52</v>
      </c>
    </row>
    <row r="337" spans="1:5" ht="105" customHeight="1" x14ac:dyDescent="0.3">
      <c r="A337" s="20" t="s">
        <v>423</v>
      </c>
      <c r="B337" s="12" t="s">
        <v>366</v>
      </c>
      <c r="C337" s="12">
        <v>500</v>
      </c>
      <c r="D337" s="33">
        <v>140880.10999999999</v>
      </c>
      <c r="E337" s="33">
        <v>140880.10999999999</v>
      </c>
    </row>
    <row r="338" spans="1:5" ht="105" customHeight="1" x14ac:dyDescent="0.3">
      <c r="A338" s="20" t="s">
        <v>487</v>
      </c>
      <c r="B338" s="12" t="s">
        <v>369</v>
      </c>
      <c r="C338" s="12">
        <v>200</v>
      </c>
      <c r="D338" s="33">
        <f>5079.62-3497.91</f>
        <v>1581.71</v>
      </c>
      <c r="E338" s="33">
        <v>1420.31</v>
      </c>
    </row>
    <row r="339" spans="1:5" ht="65.25" customHeight="1" x14ac:dyDescent="0.3">
      <c r="A339" s="20" t="s">
        <v>368</v>
      </c>
      <c r="B339" s="12" t="s">
        <v>367</v>
      </c>
      <c r="C339" s="12">
        <v>300</v>
      </c>
      <c r="D339" s="33">
        <f>1562099.33-1077310.16</f>
        <v>484789.17000000016</v>
      </c>
      <c r="E339" s="33">
        <f>1562099.33-1562099.33</f>
        <v>0</v>
      </c>
    </row>
    <row r="340" spans="1:5" ht="123.75" customHeight="1" x14ac:dyDescent="0.3">
      <c r="A340" s="20" t="s">
        <v>458</v>
      </c>
      <c r="B340" s="12" t="s">
        <v>331</v>
      </c>
      <c r="C340" s="12">
        <v>200</v>
      </c>
      <c r="D340" s="33">
        <v>24245.25</v>
      </c>
      <c r="E340" s="33">
        <v>24245.25</v>
      </c>
    </row>
    <row r="341" spans="1:5" ht="38.25" customHeight="1" x14ac:dyDescent="0.3">
      <c r="A341" s="27" t="s">
        <v>388</v>
      </c>
      <c r="B341" s="28"/>
      <c r="C341" s="29"/>
      <c r="D341" s="13">
        <f>D27+D105+D162+D194+D216+D236+D240+D255+D285+D298+D304+D311+D318+D335</f>
        <v>322090830.57999992</v>
      </c>
      <c r="E341" s="13">
        <f>E27+E105+E162+E194+E216+E236+E240+E255+E285+E298+E304+E311+E318+E335</f>
        <v>310818393.94999999</v>
      </c>
    </row>
    <row r="342" spans="1:5" x14ac:dyDescent="0.3">
      <c r="A342" s="8"/>
      <c r="B342" s="9"/>
      <c r="C342" s="10"/>
      <c r="E342" s="35" t="s">
        <v>572</v>
      </c>
    </row>
    <row r="343" spans="1:5" x14ac:dyDescent="0.3">
      <c r="A343" s="6"/>
      <c r="B343" s="6"/>
      <c r="C343" s="7"/>
    </row>
    <row r="344" spans="1:5" s="4" customFormat="1" x14ac:dyDescent="0.3">
      <c r="A344" s="6"/>
      <c r="B344" s="6"/>
      <c r="C344" s="7"/>
    </row>
    <row r="345" spans="1:5" x14ac:dyDescent="0.3">
      <c r="A345" s="6"/>
      <c r="B345" s="6"/>
      <c r="C345" s="7"/>
    </row>
    <row r="346" spans="1:5" x14ac:dyDescent="0.3">
      <c r="A346" s="6"/>
      <c r="B346" s="6"/>
      <c r="C346" s="7"/>
    </row>
    <row r="347" spans="1:5" x14ac:dyDescent="0.3">
      <c r="A347" s="6"/>
      <c r="B347" s="6"/>
      <c r="C347" s="7"/>
    </row>
    <row r="348" spans="1:5" x14ac:dyDescent="0.3">
      <c r="A348" s="6"/>
      <c r="B348" s="6"/>
      <c r="C348" s="7"/>
    </row>
    <row r="349" spans="1:5" x14ac:dyDescent="0.3">
      <c r="A349" s="6"/>
      <c r="B349" s="6"/>
      <c r="C349" s="7"/>
    </row>
    <row r="350" spans="1:5" x14ac:dyDescent="0.3">
      <c r="A350" s="6"/>
      <c r="B350" s="6"/>
      <c r="C350" s="7"/>
    </row>
    <row r="351" spans="1:5" x14ac:dyDescent="0.3">
      <c r="A351" s="6"/>
      <c r="B351" s="6"/>
      <c r="C351" s="7"/>
    </row>
    <row r="352" spans="1:5" x14ac:dyDescent="0.3">
      <c r="A352" s="6"/>
      <c r="B352" s="6"/>
      <c r="C352" s="7"/>
    </row>
    <row r="353" spans="1:3" x14ac:dyDescent="0.3">
      <c r="A353" s="6"/>
      <c r="B353" s="6"/>
      <c r="C353" s="7"/>
    </row>
    <row r="354" spans="1:3" x14ac:dyDescent="0.3">
      <c r="A354" s="6"/>
      <c r="B354" s="6"/>
      <c r="C354" s="7"/>
    </row>
    <row r="355" spans="1:3" x14ac:dyDescent="0.3">
      <c r="A355" s="6"/>
      <c r="B355" s="6"/>
      <c r="C355" s="7"/>
    </row>
    <row r="356" spans="1:3" x14ac:dyDescent="0.3">
      <c r="A356" s="6"/>
      <c r="B356" s="6"/>
      <c r="C356" s="7"/>
    </row>
    <row r="357" spans="1:3" x14ac:dyDescent="0.3">
      <c r="A357" s="6"/>
      <c r="B357" s="6"/>
      <c r="C357" s="7"/>
    </row>
    <row r="358" spans="1:3" x14ac:dyDescent="0.3">
      <c r="A358" s="6"/>
      <c r="B358" s="6"/>
      <c r="C358" s="7"/>
    </row>
    <row r="359" spans="1:3" x14ac:dyDescent="0.3">
      <c r="A359" s="6"/>
      <c r="B359" s="6"/>
      <c r="C359" s="7"/>
    </row>
    <row r="360" spans="1:3" x14ac:dyDescent="0.3">
      <c r="A360" s="6"/>
      <c r="B360" s="6"/>
      <c r="C360" s="7"/>
    </row>
    <row r="361" spans="1:3" x14ac:dyDescent="0.3">
      <c r="A361" s="6"/>
      <c r="B361" s="6"/>
      <c r="C361" s="7"/>
    </row>
    <row r="362" spans="1:3" x14ac:dyDescent="0.3">
      <c r="A362" s="6"/>
      <c r="B362" s="6"/>
      <c r="C362" s="7"/>
    </row>
    <row r="363" spans="1:3" x14ac:dyDescent="0.3">
      <c r="A363" s="6"/>
      <c r="B363" s="6"/>
      <c r="C363" s="7"/>
    </row>
    <row r="364" spans="1:3" x14ac:dyDescent="0.3">
      <c r="A364" s="6"/>
      <c r="B364" s="6"/>
      <c r="C364" s="7"/>
    </row>
    <row r="365" spans="1:3" x14ac:dyDescent="0.3">
      <c r="A365" s="6"/>
      <c r="B365" s="6"/>
      <c r="C365" s="7"/>
    </row>
    <row r="366" spans="1:3" x14ac:dyDescent="0.3">
      <c r="A366" s="6"/>
      <c r="B366" s="6"/>
      <c r="C366" s="7"/>
    </row>
    <row r="367" spans="1:3" x14ac:dyDescent="0.3">
      <c r="A367" s="6"/>
      <c r="B367" s="6"/>
      <c r="C367" s="7"/>
    </row>
    <row r="368" spans="1:3" x14ac:dyDescent="0.3">
      <c r="A368" s="6"/>
      <c r="B368" s="6"/>
      <c r="C368" s="7"/>
    </row>
    <row r="369" spans="1:3" x14ac:dyDescent="0.3">
      <c r="A369" s="6"/>
      <c r="B369" s="6"/>
      <c r="C369" s="7"/>
    </row>
    <row r="370" spans="1:3" x14ac:dyDescent="0.3">
      <c r="A370" s="6"/>
      <c r="B370" s="6"/>
      <c r="C370" s="7"/>
    </row>
    <row r="371" spans="1:3" x14ac:dyDescent="0.3">
      <c r="A371" s="6"/>
      <c r="B371" s="6"/>
      <c r="C371" s="7"/>
    </row>
    <row r="372" spans="1:3" x14ac:dyDescent="0.3">
      <c r="A372" s="6"/>
      <c r="B372" s="6"/>
      <c r="C372" s="7"/>
    </row>
    <row r="373" spans="1:3" x14ac:dyDescent="0.3">
      <c r="A373" s="6"/>
      <c r="B373" s="6"/>
      <c r="C373" s="7"/>
    </row>
    <row r="374" spans="1:3" x14ac:dyDescent="0.3">
      <c r="A374" s="6"/>
      <c r="B374" s="6"/>
      <c r="C374" s="7"/>
    </row>
    <row r="375" spans="1:3" x14ac:dyDescent="0.3">
      <c r="A375" s="6"/>
      <c r="B375" s="6"/>
      <c r="C375" s="7"/>
    </row>
    <row r="376" spans="1:3" x14ac:dyDescent="0.3">
      <c r="A376" s="6"/>
      <c r="B376" s="6"/>
      <c r="C376" s="7"/>
    </row>
    <row r="377" spans="1:3" x14ac:dyDescent="0.3">
      <c r="A377" s="6"/>
      <c r="B377" s="6"/>
      <c r="C377" s="7"/>
    </row>
    <row r="378" spans="1:3" x14ac:dyDescent="0.3">
      <c r="A378" s="6"/>
      <c r="B378" s="6"/>
      <c r="C378" s="7"/>
    </row>
    <row r="379" spans="1:3" x14ac:dyDescent="0.3">
      <c r="A379" s="6"/>
      <c r="B379" s="6"/>
      <c r="C379" s="7"/>
    </row>
    <row r="380" spans="1:3" x14ac:dyDescent="0.3">
      <c r="A380" s="6"/>
      <c r="B380" s="6"/>
      <c r="C380" s="7"/>
    </row>
    <row r="381" spans="1:3" x14ac:dyDescent="0.3">
      <c r="A381" s="6"/>
      <c r="B381" s="6"/>
      <c r="C381" s="7"/>
    </row>
    <row r="382" spans="1:3" x14ac:dyDescent="0.3">
      <c r="A382" s="6"/>
      <c r="B382" s="6"/>
      <c r="C382" s="7"/>
    </row>
    <row r="383" spans="1:3" x14ac:dyDescent="0.3">
      <c r="A383" s="6"/>
      <c r="B383" s="6"/>
      <c r="C383" s="7"/>
    </row>
    <row r="384" spans="1:3" x14ac:dyDescent="0.3">
      <c r="A384" s="6"/>
      <c r="B384" s="6"/>
      <c r="C384" s="7"/>
    </row>
    <row r="385" spans="1:3" x14ac:dyDescent="0.3">
      <c r="A385" s="6"/>
      <c r="B385" s="6"/>
      <c r="C385" s="7"/>
    </row>
    <row r="386" spans="1:3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</sheetData>
  <mergeCells count="26">
    <mergeCell ref="D24:D25"/>
    <mergeCell ref="E24:E25"/>
    <mergeCell ref="A22:E22"/>
    <mergeCell ref="A23:C23"/>
    <mergeCell ref="A24:A25"/>
    <mergeCell ref="B24:B25"/>
    <mergeCell ref="C24:C25"/>
    <mergeCell ref="C18:E18"/>
    <mergeCell ref="C19:E19"/>
    <mergeCell ref="C20:E20"/>
    <mergeCell ref="C13:E13"/>
    <mergeCell ref="C14:E14"/>
    <mergeCell ref="C15:E15"/>
    <mergeCell ref="C16:E16"/>
    <mergeCell ref="C17:E17"/>
    <mergeCell ref="C1:E1"/>
    <mergeCell ref="C2:E2"/>
    <mergeCell ref="C3:E3"/>
    <mergeCell ref="C4:E4"/>
    <mergeCell ref="C5:E5"/>
    <mergeCell ref="C11:E11"/>
    <mergeCell ref="C6:E6"/>
    <mergeCell ref="C7:E7"/>
    <mergeCell ref="C8:E8"/>
    <mergeCell ref="C9:E9"/>
    <mergeCell ref="C10:E10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2022-12-20T11:49:14Z</dcterms:modified>
</cp:coreProperties>
</file>