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<sst xmlns="http://schemas.openxmlformats.org/spreadsheetml/2006/main" count="88" uniqueCount="88">
  <si>
    <t>0100</t>
  </si>
  <si>
    <t>0102</t>
  </si>
  <si>
    <t>0103</t>
  </si>
  <si>
    <t>0105</t>
  </si>
  <si>
    <t>0107</t>
  </si>
  <si>
    <t>0111</t>
  </si>
  <si>
    <t>0113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</si>
  <si>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</si>
  <si>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</si>
  <si>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</si>
  <si>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</si>
  <si>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</si>
  <si>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</si>
  <si>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</si>
  <si>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</si>
  <si>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</si>
  <si>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</si>
  <si>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</si>
  <si>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</si>
  <si>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</si>
  <si>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</si>
  <si>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</si>
  <si>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</si>
  <si>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</si>
  <si>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</si>
  <si>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1102</t>
  </si>
  <si>
    <t>1300</t>
  </si>
  <si>
    <t>1301</t>
  </si>
  <si>
    <t>Раздел, подраздел</t>
  </si>
  <si>
    <t>0501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</si>
  <si>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</si>
  <si>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</si>
  <si>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</si>
  <si>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</si>
  <si>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</si>
  <si>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</si>
  <si>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</si>
  <si>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</si>
  <si>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</si>
  <si>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</si>
  <si>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</si>
  <si>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</si>
  <si>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</si>
  <si>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</si>
  <si>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</si>
  <si>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</si>
  <si>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</si>
  <si>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</si>
  <si>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</si>
  <si>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</si>
  <si>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</si>
  <si>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</si>
  <si>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</si>
  <si>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</si>
  <si>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</si>
  <si>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</si>
  <si>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</si>
  <si>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</si>
  <si>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</si>
  <si>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</si>
  <si>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</si>
  <si>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</si>
  <si>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ИТОГО:</t>
  </si>
  <si>
    <t>(руб.)</t>
  </si>
  <si>
    <t>0314</t>
  </si>
  <si>
    <t>Другие вопросы в области национальной безопасности и правоохранительной деятельности</t>
  </si>
  <si>
    <t>Водное хозяйство</t>
  </si>
  <si>
    <t>0406</t>
  </si>
  <si>
    <t>0705</t>
  </si>
  <si>
    <t>Профессиональная подготовка, переподготовка и повышение квалификации</t>
  </si>
  <si>
    <t>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</si>
  <si>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</si>
  <si>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</si>
  <si>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</si>
  <si>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</si>
  <si>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</si>
  <si>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 расходах бюджета Южского городского поселения по разделам и подразделам классификации расходов бюджетов на 2023 год и на плановый период 2024 и 2025 годов в сравнении с исполнением за 2021 год и ожидаемым исполнением за 2022 год</t>
  </si>
  <si>
    <t>Исполнено за 2021 год</t>
  </si>
  <si>
    <t>Ожидаемое исполнение за 2022 год</t>
  </si>
  <si>
    <t>Проект на 2023 год</t>
  </si>
  <si>
    <t>2023 год к исполнению за 2021 год</t>
  </si>
  <si>
    <t>2023 год к ожидаемому исполнению за 2022 год</t>
  </si>
  <si>
    <t xml:space="preserve">Проект на 2024 год </t>
  </si>
  <si>
    <t>2024 год к исполнению за 2021 год</t>
  </si>
  <si>
    <t>2024 год к ожидаемому исполнению за 2022 год</t>
  </si>
  <si>
    <t>Проект на 2025 год</t>
  </si>
  <si>
    <t>2025 год к исполнению за 2021 год</t>
  </si>
  <si>
    <t>2025 год к ожидаемому исполнению за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</si>
</sst>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6" fillId="0" borderId="0" xfId="0" applyFont="1" applyFill="1" applyAlignment="1" applyProtection="1">
      <alignment/>
      <protection locked="0"/>
    </xf>
    <xf numFmtId="4" fontId="2" fillId="0" borderId="2" xfId="52" applyNumberFormat="1" applyFont="1" applyFill="1" applyAlignment="1" applyProtection="1">
      <alignment horizontal="right" vertical="top" shrinkToFit="1"/>
      <protection/>
    </xf>
    <xf numFmtId="0" fontId="26" fillId="0" borderId="0" xfId="0" applyFont="1" applyFill="1" applyAlignment="1" applyProtection="1">
      <alignment vertical="center"/>
      <protection locked="0"/>
    </xf>
    <xf numFmtId="0" fontId="2" fillId="0" borderId="2" xfId="5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39" applyFont="1" applyFill="1">
      <alignment horizontal="center"/>
      <protection/>
    </xf>
    <xf numFmtId="0" fontId="5" fillId="0" borderId="0" xfId="40" applyNumberFormat="1" applyFont="1" applyFill="1" applyAlignment="1" applyProtection="1">
      <alignment vertical="top"/>
      <protection/>
    </xf>
    <xf numFmtId="0" fontId="5" fillId="0" borderId="0" xfId="40" applyFont="1" applyFill="1" applyAlignment="1">
      <alignment/>
      <protection/>
    </xf>
    <xf numFmtId="0" fontId="2" fillId="0" borderId="0" xfId="40" applyFont="1" applyFill="1" applyAlignment="1">
      <alignment horizontal="right"/>
      <protection/>
    </xf>
    <xf numFmtId="0" fontId="6" fillId="0" borderId="2" xfId="42" applyNumberFormat="1" applyFont="1" applyFill="1" applyAlignment="1" applyProtection="1">
      <alignment horizontal="center" vertical="center" wrapText="1"/>
      <protection/>
    </xf>
    <xf numFmtId="0" fontId="6" fillId="0" borderId="2" xfId="42" applyNumberFormat="1" applyFont="1" applyFill="1" applyProtection="1">
      <alignment horizontal="center" vertical="center" wrapText="1"/>
      <protection/>
    </xf>
    <xf numFmtId="0" fontId="2" fillId="0" borderId="2" xfId="42" applyNumberFormat="1" applyFont="1" applyFill="1" applyAlignment="1" applyProtection="1">
      <alignment horizontal="center" vertical="top" wrapText="1"/>
      <protection/>
    </xf>
    <xf numFmtId="0" fontId="2" fillId="0" borderId="2" xfId="42" applyNumberFormat="1" applyFont="1" applyFill="1" applyProtection="1">
      <alignment horizontal="center" vertical="center" wrapText="1"/>
      <protection/>
    </xf>
    <xf numFmtId="0" fontId="6" fillId="0" borderId="2" xfId="50" applyNumberFormat="1" applyFont="1" applyFill="1" applyAlignment="1" applyProtection="1">
      <alignment vertical="top" wrapText="1"/>
      <protection/>
    </xf>
    <xf numFmtId="0" fontId="6" fillId="0" borderId="2" xfId="50" applyNumberFormat="1" applyFont="1" applyFill="1" applyAlignment="1" applyProtection="1">
      <alignment horizontal="center" vertical="top" wrapText="1"/>
      <protection/>
    </xf>
    <xf numFmtId="4" fontId="6" fillId="0" borderId="2" xfId="52" applyNumberFormat="1" applyFont="1" applyFill="1" applyAlignment="1" applyProtection="1">
      <alignment horizontal="right" vertical="top" shrinkToFit="1"/>
      <protection/>
    </xf>
    <xf numFmtId="165" fontId="6" fillId="0" borderId="2" xfId="83" applyNumberFormat="1" applyFont="1" applyFill="1" applyBorder="1" applyAlignment="1" applyProtection="1">
      <alignment horizontal="center" vertical="top" shrinkToFit="1"/>
      <protection/>
    </xf>
    <xf numFmtId="0" fontId="2" fillId="0" borderId="2" xfId="50" applyNumberFormat="1" applyFont="1" applyFill="1" applyAlignment="1" applyProtection="1">
      <alignment horizontal="center" vertical="top" wrapText="1"/>
      <protection/>
    </xf>
    <xf numFmtId="165" fontId="2" fillId="0" borderId="2" xfId="83" applyNumberFormat="1" applyFont="1" applyFill="1" applyBorder="1" applyAlignment="1" applyProtection="1">
      <alignment horizontal="center" vertical="top" shrinkToFit="1"/>
      <protection/>
    </xf>
    <xf numFmtId="49" fontId="2" fillId="0" borderId="2" xfId="50" applyNumberFormat="1" applyFont="1" applyFill="1" applyAlignment="1" applyProtection="1">
      <alignment horizontal="center" vertical="top" wrapText="1"/>
      <protection/>
    </xf>
    <xf numFmtId="4" fontId="2" fillId="0" borderId="2" xfId="51" applyNumberFormat="1" applyFont="1" applyFill="1" applyAlignment="1" applyProtection="1">
      <alignment horizontal="right" vertical="top" shrinkToFit="1"/>
      <protection/>
    </xf>
    <xf numFmtId="4" fontId="6" fillId="0" borderId="14" xfId="46" applyNumberFormat="1" applyFont="1" applyFill="1" applyBorder="1" applyAlignment="1" applyProtection="1">
      <alignment horizontal="right" vertical="center" shrinkToFit="1"/>
      <protection/>
    </xf>
    <xf numFmtId="165" fontId="6" fillId="0" borderId="2" xfId="83" applyNumberFormat="1" applyFont="1" applyFill="1" applyBorder="1" applyAlignment="1" applyProtection="1">
      <alignment horizontal="center" vertical="center" shrinkToFit="1"/>
      <protection/>
    </xf>
    <xf numFmtId="0" fontId="5" fillId="0" borderId="0" xfId="49" applyFont="1" applyFill="1">
      <alignment horizontal="left" wrapText="1"/>
      <protection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39" applyNumberFormat="1" applyFont="1" applyFill="1" applyProtection="1">
      <alignment horizontal="center"/>
      <protection/>
    </xf>
    <xf numFmtId="0" fontId="4" fillId="0" borderId="0" xfId="39" applyFont="1" applyFill="1">
      <alignment horizontal="center"/>
      <protection/>
    </xf>
    <xf numFmtId="0" fontId="6" fillId="0" borderId="14" xfId="45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Protection="1">
      <alignment horizontal="left" wrapText="1"/>
      <protection/>
    </xf>
    <xf numFmtId="0" fontId="5" fillId="0" borderId="0" xfId="49" applyFont="1" applyFill="1">
      <alignment horizontal="left" wrapText="1"/>
      <protection/>
    </xf>
    <xf numFmtId="0" fontId="3" fillId="0" borderId="0" xfId="39" applyNumberFormat="1" applyFont="1" applyFill="1" applyAlignment="1" applyProtection="1">
      <alignment horizontal="center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140625" defaultRowHeight="15" outlineLevelRow="1"/>
  <cols>
    <col min="1" max="1" width="50.00390625" style="25" customWidth="1"/>
    <col min="2" max="2" width="9.140625" style="25" customWidth="1"/>
    <col min="3" max="3" width="15.8515625" style="5" customWidth="1"/>
    <col min="4" max="4" width="16.57421875" style="5" customWidth="1"/>
    <col min="5" max="6" width="13.7109375" style="5" customWidth="1"/>
    <col min="7" max="7" width="15.00390625" style="5" customWidth="1"/>
    <col min="8" max="13" width="13.140625" style="5" customWidth="1"/>
    <col min="14" max="16384" width="9.140625" style="5" customWidth="1"/>
  </cols>
  <sheetData>
    <row r="1" spans="1:13" ht="33" customHeight="1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7.5" customHeight="1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6"/>
      <c r="M2" s="6"/>
    </row>
    <row r="3" spans="1:13" ht="12" customHeight="1">
      <c r="A3" s="7"/>
      <c r="B3" s="7"/>
      <c r="C3" s="8"/>
      <c r="D3" s="8"/>
      <c r="E3" s="8"/>
      <c r="F3" s="8"/>
      <c r="G3" s="8"/>
      <c r="H3" s="8"/>
      <c r="I3" s="8"/>
      <c r="J3" s="8"/>
      <c r="L3" s="8"/>
      <c r="M3" s="9" t="s">
        <v>63</v>
      </c>
    </row>
    <row r="4" spans="1:13" ht="53.25" customHeight="1">
      <c r="A4" s="10" t="s">
        <v>54</v>
      </c>
      <c r="B4" s="10" t="s">
        <v>28</v>
      </c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</row>
    <row r="5" spans="1:13" ht="14.25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 t="s">
        <v>48</v>
      </c>
      <c r="G5" s="13" t="s">
        <v>49</v>
      </c>
      <c r="H5" s="13">
        <v>8</v>
      </c>
      <c r="I5" s="13" t="s">
        <v>50</v>
      </c>
      <c r="J5" s="13" t="s">
        <v>51</v>
      </c>
      <c r="K5" s="13">
        <v>11</v>
      </c>
      <c r="L5" s="13" t="s">
        <v>52</v>
      </c>
      <c r="M5" s="13" t="s">
        <v>53</v>
      </c>
    </row>
    <row r="6" spans="1:13" s="1" customFormat="1" ht="15">
      <c r="A6" s="14" t="s">
        <v>56</v>
      </c>
      <c r="B6" s="15" t="s">
        <v>0</v>
      </c>
      <c r="C6" s="16">
        <f>SUM(C7:C13)</f>
        <v>7052388.67</v>
      </c>
      <c r="D6" s="16">
        <f>SUM(D7:D13)</f>
        <v>8681858.31</v>
      </c>
      <c r="E6" s="16">
        <f>SUM(E7:E13)</f>
        <v>8214145.43</v>
      </c>
      <c r="F6" s="17">
        <f>E6/C6</f>
        <v>1.1647323785403336</v>
      </c>
      <c r="G6" s="17">
        <f>E6/D6</f>
        <v>0.9461275612547977</v>
      </c>
      <c r="H6" s="16">
        <f>SUM(H7:H13)</f>
        <v>8214145.51</v>
      </c>
      <c r="I6" s="17">
        <f>H6/C6</f>
        <v>1.1647323898840078</v>
      </c>
      <c r="J6" s="17">
        <f>H6/D6</f>
        <v>0.9461275704694148</v>
      </c>
      <c r="K6" s="16">
        <f>SUM(K7:K13)</f>
        <v>8210545.51</v>
      </c>
      <c r="L6" s="17">
        <f>K6/C6</f>
        <v>1.1642219245412064</v>
      </c>
      <c r="M6" s="17">
        <f>K6/D6</f>
        <v>0.9457129127001382</v>
      </c>
    </row>
    <row r="7" spans="1:13" ht="25.5" outlineLevel="1">
      <c r="A7" s="4" t="s">
        <v>55</v>
      </c>
      <c r="B7" s="18" t="s">
        <v>1</v>
      </c>
      <c r="C7" s="2">
        <f>782331.13</f>
        <v>782331.13</v>
      </c>
      <c r="D7" s="2">
        <f>902004.65</f>
        <v>902004.65</v>
      </c>
      <c r="E7" s="2">
        <f>1021096.46</f>
        <v>1021096.46</v>
      </c>
      <c r="F7" s="19">
        <f aca="true" t="shared" si="0" ref="F7:F38">E7/C7</f>
        <v>1.3051972762479744</v>
      </c>
      <c r="G7" s="19">
        <f aca="true" t="shared" si="1" ref="G7:G39">E7/D7</f>
        <v>1.1320301508423487</v>
      </c>
      <c r="H7" s="2">
        <f>1021096.46</f>
        <v>1021096.46</v>
      </c>
      <c r="I7" s="19">
        <f aca="true" t="shared" si="2" ref="I7:I38">H7/C7</f>
        <v>1.3051972762479744</v>
      </c>
      <c r="J7" s="19">
        <f aca="true" t="shared" si="3" ref="J7:J36">H7/D7</f>
        <v>1.1320301508423487</v>
      </c>
      <c r="K7" s="2">
        <f>1021096.46</f>
        <v>1021096.46</v>
      </c>
      <c r="L7" s="19">
        <f aca="true" t="shared" si="4" ref="L7:L38">K7/C7</f>
        <v>1.3051972762479744</v>
      </c>
      <c r="M7" s="19">
        <f aca="true" t="shared" si="5" ref="M7:M36">K7/D7</f>
        <v>1.1320301508423487</v>
      </c>
    </row>
    <row r="8" spans="1:13" ht="37.5" customHeight="1" outlineLevel="1">
      <c r="A8" s="4" t="s">
        <v>57</v>
      </c>
      <c r="B8" s="18" t="s">
        <v>2</v>
      </c>
      <c r="C8" s="2">
        <f>1712786.85</f>
        <v>1712786.85</v>
      </c>
      <c r="D8" s="2">
        <f>1943815.24</f>
        <v>1943815.24</v>
      </c>
      <c r="E8" s="2">
        <f>2025526.77</f>
        <v>2025526.77</v>
      </c>
      <c r="F8" s="19">
        <f t="shared" si="0"/>
        <v>1.1825912663913785</v>
      </c>
      <c r="G8" s="19">
        <f t="shared" si="1"/>
        <v>1.042036675255206</v>
      </c>
      <c r="H8" s="2">
        <f>2025526.85</f>
        <v>2025526.85</v>
      </c>
      <c r="I8" s="19">
        <f t="shared" si="2"/>
        <v>1.1825913130988832</v>
      </c>
      <c r="J8" s="19">
        <f t="shared" si="3"/>
        <v>1.0420367164113808</v>
      </c>
      <c r="K8" s="2">
        <f>2025526.85</f>
        <v>2025526.85</v>
      </c>
      <c r="L8" s="19">
        <f t="shared" si="4"/>
        <v>1.1825913130988832</v>
      </c>
      <c r="M8" s="19">
        <f t="shared" si="5"/>
        <v>1.0420367164113808</v>
      </c>
    </row>
    <row r="9" spans="1:13" ht="15" hidden="1" outlineLevel="1">
      <c r="A9" s="4" t="s">
        <v>58</v>
      </c>
      <c r="B9" s="18" t="s">
        <v>3</v>
      </c>
      <c r="C9" s="2"/>
      <c r="D9" s="2"/>
      <c r="E9" s="2"/>
      <c r="F9" s="19" t="e">
        <f t="shared" si="0"/>
        <v>#DIV/0!</v>
      </c>
      <c r="G9" s="19" t="e">
        <f t="shared" si="1"/>
        <v>#DIV/0!</v>
      </c>
      <c r="H9" s="2"/>
      <c r="I9" s="19" t="e">
        <f t="shared" si="2"/>
        <v>#DIV/0!</v>
      </c>
      <c r="J9" s="19" t="e">
        <f t="shared" si="3"/>
        <v>#DIV/0!</v>
      </c>
      <c r="K9" s="2"/>
      <c r="L9" s="19" t="e">
        <f t="shared" si="4"/>
        <v>#DIV/0!</v>
      </c>
      <c r="M9" s="19" t="e">
        <f t="shared" si="5"/>
        <v>#DIV/0!</v>
      </c>
    </row>
    <row r="10" spans="1:13" ht="39.75" customHeight="1" outlineLevel="1">
      <c r="A10" s="4" t="s">
        <v>72</v>
      </c>
      <c r="B10" s="20" t="s">
        <v>71</v>
      </c>
      <c r="C10" s="2">
        <f>3600</f>
        <v>3600</v>
      </c>
      <c r="D10" s="2">
        <f>3600</f>
        <v>3600</v>
      </c>
      <c r="E10" s="2">
        <f>3600</f>
        <v>3600</v>
      </c>
      <c r="F10" s="19"/>
      <c r="G10" s="19">
        <f t="shared" si="1"/>
        <v>1</v>
      </c>
      <c r="H10" s="2">
        <f>3600</f>
        <v>3600</v>
      </c>
      <c r="I10" s="19">
        <f t="shared" si="2"/>
        <v>1</v>
      </c>
      <c r="J10" s="19">
        <f t="shared" si="3"/>
        <v>1</v>
      </c>
      <c r="K10" s="2">
        <f>0</f>
        <v>0</v>
      </c>
      <c r="L10" s="19">
        <f t="shared" si="4"/>
        <v>0</v>
      </c>
      <c r="M10" s="19">
        <f t="shared" si="5"/>
        <v>0</v>
      </c>
    </row>
    <row r="11" spans="1:13" ht="15" hidden="1" outlineLevel="1">
      <c r="A11" s="4" t="s">
        <v>59</v>
      </c>
      <c r="B11" s="18" t="s">
        <v>4</v>
      </c>
      <c r="C11" s="2">
        <f>0</f>
        <v>0</v>
      </c>
      <c r="D11" s="2"/>
      <c r="E11" s="2"/>
      <c r="F11" s="19">
        <f>0</f>
        <v>0</v>
      </c>
      <c r="G11" s="19">
        <f>0</f>
        <v>0</v>
      </c>
      <c r="H11" s="2"/>
      <c r="I11" s="19" t="e">
        <f t="shared" si="2"/>
        <v>#DIV/0!</v>
      </c>
      <c r="J11" s="19">
        <f>0</f>
        <v>0</v>
      </c>
      <c r="K11" s="2"/>
      <c r="L11" s="19" t="e">
        <f t="shared" si="4"/>
        <v>#DIV/0!</v>
      </c>
      <c r="M11" s="19" t="e">
        <f t="shared" si="5"/>
        <v>#DIV/0!</v>
      </c>
    </row>
    <row r="12" spans="1:13" ht="15" outlineLevel="1">
      <c r="A12" s="4" t="s">
        <v>60</v>
      </c>
      <c r="B12" s="18" t="s">
        <v>5</v>
      </c>
      <c r="C12" s="2">
        <f>0</f>
        <v>0</v>
      </c>
      <c r="D12" s="2">
        <f>0</f>
        <v>0</v>
      </c>
      <c r="E12" s="2">
        <f>300000</f>
        <v>300000</v>
      </c>
      <c r="F12" s="19">
        <f>0</f>
        <v>0</v>
      </c>
      <c r="G12" s="19">
        <f>0</f>
        <v>0</v>
      </c>
      <c r="H12" s="2">
        <f>300000</f>
        <v>300000</v>
      </c>
      <c r="I12" s="19" t="e">
        <f t="shared" si="2"/>
        <v>#DIV/0!</v>
      </c>
      <c r="J12" s="19">
        <f>0</f>
        <v>0</v>
      </c>
      <c r="K12" s="2">
        <f>300000</f>
        <v>300000</v>
      </c>
      <c r="L12" s="19" t="e">
        <f t="shared" si="4"/>
        <v>#DIV/0!</v>
      </c>
      <c r="M12" s="19" t="e">
        <f t="shared" si="5"/>
        <v>#DIV/0!</v>
      </c>
    </row>
    <row r="13" spans="1:13" ht="15" outlineLevel="1">
      <c r="A13" s="4" t="s">
        <v>61</v>
      </c>
      <c r="B13" s="18" t="s">
        <v>6</v>
      </c>
      <c r="C13" s="2">
        <f>4553670.69</f>
        <v>4553670.69</v>
      </c>
      <c r="D13" s="2">
        <f>5832438.42</f>
        <v>5832438.42</v>
      </c>
      <c r="E13" s="2">
        <f>4863922.2</f>
        <v>4863922.2</v>
      </c>
      <c r="F13" s="19">
        <f t="shared" si="0"/>
        <v>1.0681321797558443</v>
      </c>
      <c r="G13" s="19">
        <f t="shared" si="1"/>
        <v>0.8339431726053269</v>
      </c>
      <c r="H13" s="2">
        <f>4863922.2</f>
        <v>4863922.2</v>
      </c>
      <c r="I13" s="19">
        <f t="shared" si="2"/>
        <v>1.0681321797558443</v>
      </c>
      <c r="J13" s="19">
        <f t="shared" si="3"/>
        <v>0.8339431726053269</v>
      </c>
      <c r="K13" s="2">
        <f>4863922.2</f>
        <v>4863922.2</v>
      </c>
      <c r="L13" s="19">
        <f t="shared" si="4"/>
        <v>1.0681321797558443</v>
      </c>
      <c r="M13" s="19">
        <f t="shared" si="5"/>
        <v>0.8339431726053269</v>
      </c>
    </row>
    <row r="14" spans="1:13" s="1" customFormat="1" ht="25.5">
      <c r="A14" s="14" t="s">
        <v>30</v>
      </c>
      <c r="B14" s="15" t="s">
        <v>7</v>
      </c>
      <c r="C14" s="16">
        <f>SUM(C15:C17)</f>
        <v>321333.95</v>
      </c>
      <c r="D14" s="16">
        <f>SUM(D15:D17)</f>
        <v>510060</v>
      </c>
      <c r="E14" s="16">
        <f>SUM(E15:E17)</f>
        <v>473500</v>
      </c>
      <c r="F14" s="17">
        <f t="shared" si="0"/>
        <v>1.4735448899812795</v>
      </c>
      <c r="G14" s="17">
        <f t="shared" si="1"/>
        <v>0.9283221581774693</v>
      </c>
      <c r="H14" s="16">
        <f>SUM(H15:H17)</f>
        <v>473500</v>
      </c>
      <c r="I14" s="17">
        <f t="shared" si="2"/>
        <v>1.4735448899812795</v>
      </c>
      <c r="J14" s="17">
        <f t="shared" si="3"/>
        <v>0.9283221581774693</v>
      </c>
      <c r="K14" s="16">
        <f>SUM(K15:K17)</f>
        <v>473500</v>
      </c>
      <c r="L14" s="17">
        <f t="shared" si="4"/>
        <v>1.4735448899812795</v>
      </c>
      <c r="M14" s="17">
        <f t="shared" si="5"/>
        <v>0.9283221581774693</v>
      </c>
    </row>
    <row r="15" spans="1:13" ht="16.5" customHeight="1" outlineLevel="1">
      <c r="A15" s="4" t="s">
        <v>70</v>
      </c>
      <c r="B15" s="18" t="s">
        <v>8</v>
      </c>
      <c r="C15" s="2">
        <f>28633</f>
        <v>28633</v>
      </c>
      <c r="D15" s="2">
        <f>30000</f>
        <v>30000</v>
      </c>
      <c r="E15" s="2">
        <f>12000</f>
        <v>12000</v>
      </c>
      <c r="F15" s="19">
        <f t="shared" si="0"/>
        <v>0.4190968462962316</v>
      </c>
      <c r="G15" s="19">
        <f t="shared" si="1"/>
        <v>0.4</v>
      </c>
      <c r="H15" s="2">
        <f>12000</f>
        <v>12000</v>
      </c>
      <c r="I15" s="19">
        <f t="shared" si="2"/>
        <v>0.4190968462962316</v>
      </c>
      <c r="J15" s="19">
        <f t="shared" si="3"/>
        <v>0.4</v>
      </c>
      <c r="K15" s="2">
        <f>12000</f>
        <v>12000</v>
      </c>
      <c r="L15" s="19">
        <f t="shared" si="4"/>
        <v>0.4190968462962316</v>
      </c>
      <c r="M15" s="19">
        <f t="shared" si="5"/>
        <v>0.4</v>
      </c>
    </row>
    <row r="16" spans="1:13" ht="40.5" customHeight="1" outlineLevel="1">
      <c r="A16" s="4" t="s">
        <v>75</v>
      </c>
      <c r="B16" s="18" t="s">
        <v>9</v>
      </c>
      <c r="C16" s="2">
        <f>195205</f>
        <v>195205</v>
      </c>
      <c r="D16" s="2">
        <f>280060</f>
        <v>280060</v>
      </c>
      <c r="E16" s="2">
        <f>261500</f>
        <v>261500</v>
      </c>
      <c r="F16" s="19">
        <f t="shared" si="0"/>
        <v>1.339617325375887</v>
      </c>
      <c r="G16" s="19">
        <f t="shared" si="1"/>
        <v>0.9337284867528387</v>
      </c>
      <c r="H16" s="2">
        <f>261500</f>
        <v>261500</v>
      </c>
      <c r="I16" s="19">
        <f t="shared" si="2"/>
        <v>1.339617325375887</v>
      </c>
      <c r="J16" s="19">
        <f t="shared" si="3"/>
        <v>0.9337284867528387</v>
      </c>
      <c r="K16" s="2">
        <f>261500</f>
        <v>261500</v>
      </c>
      <c r="L16" s="19">
        <f t="shared" si="4"/>
        <v>1.339617325375887</v>
      </c>
      <c r="M16" s="19">
        <f t="shared" si="5"/>
        <v>0.9337284867528387</v>
      </c>
    </row>
    <row r="17" spans="1:13" ht="25.5" outlineLevel="1">
      <c r="A17" s="4" t="s">
        <v>65</v>
      </c>
      <c r="B17" s="20" t="s">
        <v>64</v>
      </c>
      <c r="C17" s="2">
        <f>97495.95</f>
        <v>97495.95</v>
      </c>
      <c r="D17" s="2">
        <f>200000</f>
        <v>200000</v>
      </c>
      <c r="E17" s="2">
        <f>200000</f>
        <v>200000</v>
      </c>
      <c r="F17" s="19">
        <f t="shared" si="0"/>
        <v>2.051367261922162</v>
      </c>
      <c r="G17" s="19">
        <f t="shared" si="1"/>
        <v>1</v>
      </c>
      <c r="H17" s="2">
        <f>200000</f>
        <v>200000</v>
      </c>
      <c r="I17" s="19">
        <f t="shared" si="2"/>
        <v>2.051367261922162</v>
      </c>
      <c r="J17" s="19">
        <f t="shared" si="3"/>
        <v>1</v>
      </c>
      <c r="K17" s="2">
        <f>200000</f>
        <v>200000</v>
      </c>
      <c r="L17" s="19">
        <f t="shared" si="4"/>
        <v>2.051367261922162</v>
      </c>
      <c r="M17" s="19">
        <f t="shared" si="5"/>
        <v>1</v>
      </c>
    </row>
    <row r="18" spans="1:13" s="1" customFormat="1" ht="15">
      <c r="A18" s="14" t="s">
        <v>31</v>
      </c>
      <c r="B18" s="15" t="s">
        <v>10</v>
      </c>
      <c r="C18" s="16">
        <f>SUM(C19:C22)</f>
        <v>47532675.07</v>
      </c>
      <c r="D18" s="16">
        <f>SUM(D19:D22)</f>
        <v>69264978.81</v>
      </c>
      <c r="E18" s="16">
        <f>SUM(E19:E22)</f>
        <v>41192228.989999995</v>
      </c>
      <c r="F18" s="17">
        <f t="shared" si="0"/>
        <v>0.8666086840123638</v>
      </c>
      <c r="G18" s="17">
        <f t="shared" si="1"/>
        <v>0.594704996633204</v>
      </c>
      <c r="H18" s="16">
        <f>SUM(H19:H22)</f>
        <v>18127823.66</v>
      </c>
      <c r="I18" s="17">
        <f t="shared" si="2"/>
        <v>0.38137604570547895</v>
      </c>
      <c r="J18" s="17">
        <f t="shared" si="3"/>
        <v>0.2617170173360802</v>
      </c>
      <c r="K18" s="16">
        <f>SUM(K19:K22)</f>
        <v>15618464.83</v>
      </c>
      <c r="L18" s="17">
        <f t="shared" si="4"/>
        <v>0.3285837543752616</v>
      </c>
      <c r="M18" s="17">
        <f t="shared" si="5"/>
        <v>0.225488624963603</v>
      </c>
    </row>
    <row r="19" spans="1:13" ht="15">
      <c r="A19" s="4" t="s">
        <v>66</v>
      </c>
      <c r="B19" s="20" t="s">
        <v>67</v>
      </c>
      <c r="C19" s="2">
        <f>223294.49</f>
        <v>223294.49</v>
      </c>
      <c r="D19" s="2">
        <f>340000</f>
        <v>340000</v>
      </c>
      <c r="E19" s="2">
        <f>340000</f>
        <v>340000</v>
      </c>
      <c r="F19" s="19">
        <f t="shared" si="0"/>
        <v>1.5226528876731351</v>
      </c>
      <c r="G19" s="19">
        <f t="shared" si="1"/>
        <v>1</v>
      </c>
      <c r="H19" s="2">
        <f>340000</f>
        <v>340000</v>
      </c>
      <c r="I19" s="19">
        <f t="shared" si="2"/>
        <v>1.5226528876731351</v>
      </c>
      <c r="J19" s="19">
        <f t="shared" si="3"/>
        <v>1</v>
      </c>
      <c r="K19" s="2">
        <f>340000</f>
        <v>340000</v>
      </c>
      <c r="L19" s="19">
        <f t="shared" si="4"/>
        <v>1.5226528876731351</v>
      </c>
      <c r="M19" s="19">
        <f t="shared" si="5"/>
        <v>1</v>
      </c>
    </row>
    <row r="20" spans="1:13" ht="15" outlineLevel="1">
      <c r="A20" s="4" t="s">
        <v>32</v>
      </c>
      <c r="B20" s="18" t="s">
        <v>11</v>
      </c>
      <c r="C20" s="2">
        <f>2868026.34</f>
        <v>2868026.34</v>
      </c>
      <c r="D20" s="2">
        <f>3857055.68</f>
        <v>3857055.68</v>
      </c>
      <c r="E20" s="2">
        <f>3514208.08</f>
        <v>3514208.08</v>
      </c>
      <c r="F20" s="19">
        <f t="shared" si="0"/>
        <v>1.2253053714980875</v>
      </c>
      <c r="G20" s="19">
        <f t="shared" si="1"/>
        <v>0.9111115761751202</v>
      </c>
      <c r="H20" s="2">
        <f>3514208.08</f>
        <v>3514208.08</v>
      </c>
      <c r="I20" s="19">
        <f t="shared" si="2"/>
        <v>1.2253053714980875</v>
      </c>
      <c r="J20" s="19">
        <f t="shared" si="3"/>
        <v>0.9111115761751202</v>
      </c>
      <c r="K20" s="2">
        <f>3514208.08</f>
        <v>3514208.08</v>
      </c>
      <c r="L20" s="19">
        <f t="shared" si="4"/>
        <v>1.2253053714980875</v>
      </c>
      <c r="M20" s="19">
        <f t="shared" si="5"/>
        <v>0.9111115761751202</v>
      </c>
    </row>
    <row r="21" spans="1:13" ht="15" outlineLevel="1">
      <c r="A21" s="4" t="s">
        <v>33</v>
      </c>
      <c r="B21" s="18" t="s">
        <v>12</v>
      </c>
      <c r="C21" s="2">
        <f>44435354.24</f>
        <v>44435354.24</v>
      </c>
      <c r="D21" s="2">
        <f>65007923.13</f>
        <v>65007923.13</v>
      </c>
      <c r="E21" s="2">
        <f>37278020.91</f>
        <v>37278020.91</v>
      </c>
      <c r="F21" s="19">
        <f t="shared" si="0"/>
        <v>0.8389270558901702</v>
      </c>
      <c r="G21" s="19">
        <f t="shared" si="1"/>
        <v>0.5734381151579484</v>
      </c>
      <c r="H21" s="2">
        <f>14213615.58</f>
        <v>14213615.58</v>
      </c>
      <c r="I21" s="19">
        <f t="shared" si="2"/>
        <v>0.3198717737959458</v>
      </c>
      <c r="J21" s="19">
        <f t="shared" si="3"/>
        <v>0.21864435742049831</v>
      </c>
      <c r="K21" s="2">
        <f>11704256.75</f>
        <v>11704256.75</v>
      </c>
      <c r="L21" s="19">
        <f t="shared" si="4"/>
        <v>0.26339964990003417</v>
      </c>
      <c r="M21" s="19">
        <f t="shared" si="5"/>
        <v>0.18004354217861013</v>
      </c>
    </row>
    <row r="22" spans="1:13" ht="15" outlineLevel="1">
      <c r="A22" s="4" t="s">
        <v>34</v>
      </c>
      <c r="B22" s="18" t="s">
        <v>13</v>
      </c>
      <c r="C22" s="2">
        <f>6000</f>
        <v>6000</v>
      </c>
      <c r="D22" s="2">
        <f>60000</f>
        <v>60000</v>
      </c>
      <c r="E22" s="2">
        <f>60000</f>
        <v>60000</v>
      </c>
      <c r="F22" s="19">
        <f t="shared" si="0"/>
        <v>10</v>
      </c>
      <c r="G22" s="19">
        <f t="shared" si="1"/>
        <v>1</v>
      </c>
      <c r="H22" s="2">
        <f>60000</f>
        <v>60000</v>
      </c>
      <c r="I22" s="19">
        <f t="shared" si="2"/>
        <v>10</v>
      </c>
      <c r="J22" s="19">
        <f t="shared" si="3"/>
        <v>1</v>
      </c>
      <c r="K22" s="2">
        <f>60000</f>
        <v>60000</v>
      </c>
      <c r="L22" s="19">
        <f t="shared" si="4"/>
        <v>10</v>
      </c>
      <c r="M22" s="19">
        <f t="shared" si="5"/>
        <v>1</v>
      </c>
    </row>
    <row r="23" spans="1:13" s="1" customFormat="1" ht="15">
      <c r="A23" s="14" t="s">
        <v>35</v>
      </c>
      <c r="B23" s="15" t="s">
        <v>14</v>
      </c>
      <c r="C23" s="16">
        <f>SUM(C24:C26)</f>
        <v>40192976.01</v>
      </c>
      <c r="D23" s="16">
        <f>SUM(D24:D26)</f>
        <v>37271786.75</v>
      </c>
      <c r="E23" s="16">
        <f>SUM(E24:E26)</f>
        <v>23559131.35</v>
      </c>
      <c r="F23" s="17">
        <f t="shared" si="0"/>
        <v>0.586150459327483</v>
      </c>
      <c r="G23" s="17">
        <f t="shared" si="1"/>
        <v>0.6320902056030356</v>
      </c>
      <c r="H23" s="16">
        <f>SUM(H24:H26)</f>
        <v>21047772.03</v>
      </c>
      <c r="I23" s="17">
        <f t="shared" si="2"/>
        <v>0.5236679171197306</v>
      </c>
      <c r="J23" s="17">
        <f t="shared" si="3"/>
        <v>0.5647105724009864</v>
      </c>
      <c r="K23" s="16">
        <f>SUM(K24:K26)</f>
        <v>21104739.38</v>
      </c>
      <c r="L23" s="17">
        <f t="shared" si="4"/>
        <v>0.5250852630257871</v>
      </c>
      <c r="M23" s="17">
        <f t="shared" si="5"/>
        <v>0.5662390032857761</v>
      </c>
    </row>
    <row r="24" spans="1:13" ht="15">
      <c r="A24" s="4" t="s">
        <v>36</v>
      </c>
      <c r="B24" s="20" t="s">
        <v>29</v>
      </c>
      <c r="C24" s="2">
        <f>1403894.74</f>
        <v>1403894.74</v>
      </c>
      <c r="D24" s="2">
        <f>1072959.52</f>
        <v>1072959.52</v>
      </c>
      <c r="E24" s="2">
        <f>1723095.92</f>
        <v>1723095.92</v>
      </c>
      <c r="F24" s="19">
        <f t="shared" si="0"/>
        <v>1.2273683139520843</v>
      </c>
      <c r="G24" s="19">
        <f t="shared" si="1"/>
        <v>1.6059281714560862</v>
      </c>
      <c r="H24" s="2">
        <f>1500211.85</f>
        <v>1500211.85</v>
      </c>
      <c r="I24" s="19">
        <f t="shared" si="2"/>
        <v>1.068607073775346</v>
      </c>
      <c r="J24" s="19">
        <f t="shared" si="3"/>
        <v>1.398199859394509</v>
      </c>
      <c r="K24" s="2">
        <f>1557179.2</f>
        <v>1557179.2</v>
      </c>
      <c r="L24" s="19">
        <f t="shared" si="4"/>
        <v>1.1091851515876467</v>
      </c>
      <c r="M24" s="19">
        <f t="shared" si="5"/>
        <v>1.451293521306377</v>
      </c>
    </row>
    <row r="25" spans="1:13" ht="15" outlineLevel="1">
      <c r="A25" s="4" t="s">
        <v>37</v>
      </c>
      <c r="B25" s="20" t="s">
        <v>15</v>
      </c>
      <c r="C25" s="2">
        <f>15002508.25</f>
        <v>15002508.25</v>
      </c>
      <c r="D25" s="2">
        <f>14182128.02-2115890.4</f>
        <v>12066237.62</v>
      </c>
      <c r="E25" s="2">
        <f>3089572</f>
        <v>3089572</v>
      </c>
      <c r="F25" s="19">
        <f t="shared" si="0"/>
        <v>0.2059370305628727</v>
      </c>
      <c r="G25" s="19">
        <f t="shared" si="1"/>
        <v>0.2560509826923167</v>
      </c>
      <c r="H25" s="2">
        <f>3089572</f>
        <v>3089572</v>
      </c>
      <c r="I25" s="19">
        <f t="shared" si="2"/>
        <v>0.2059370305628727</v>
      </c>
      <c r="J25" s="19">
        <f t="shared" si="3"/>
        <v>0.2560509826923167</v>
      </c>
      <c r="K25" s="2">
        <f>3089572</f>
        <v>3089572</v>
      </c>
      <c r="L25" s="19">
        <f t="shared" si="4"/>
        <v>0.2059370305628727</v>
      </c>
      <c r="M25" s="19">
        <f t="shared" si="5"/>
        <v>0.2560509826923167</v>
      </c>
    </row>
    <row r="26" spans="1:13" ht="15" outlineLevel="1">
      <c r="A26" s="4" t="s">
        <v>38</v>
      </c>
      <c r="B26" s="20" t="s">
        <v>16</v>
      </c>
      <c r="C26" s="2">
        <f>23786573.02</f>
        <v>23786573.02</v>
      </c>
      <c r="D26" s="2">
        <f>24132589.61</f>
        <v>24132589.61</v>
      </c>
      <c r="E26" s="2">
        <f>18746463.43</f>
        <v>18746463.43</v>
      </c>
      <c r="F26" s="19">
        <f t="shared" si="0"/>
        <v>0.7881111505317633</v>
      </c>
      <c r="G26" s="19">
        <f t="shared" si="1"/>
        <v>0.7768110978952665</v>
      </c>
      <c r="H26" s="2">
        <f>16457988.18</f>
        <v>16457988.18</v>
      </c>
      <c r="I26" s="19">
        <f t="shared" si="2"/>
        <v>0.6919024512762705</v>
      </c>
      <c r="J26" s="19">
        <f t="shared" si="3"/>
        <v>0.6819818530034664</v>
      </c>
      <c r="K26" s="2">
        <f>16457988.18</f>
        <v>16457988.18</v>
      </c>
      <c r="L26" s="19">
        <f t="shared" si="4"/>
        <v>0.6919024512762705</v>
      </c>
      <c r="M26" s="19">
        <f t="shared" si="5"/>
        <v>0.6819818530034664</v>
      </c>
    </row>
    <row r="27" spans="1:13" s="1" customFormat="1" ht="15">
      <c r="A27" s="14" t="s">
        <v>39</v>
      </c>
      <c r="B27" s="15" t="s">
        <v>17</v>
      </c>
      <c r="C27" s="16">
        <f>SUM(C28:C29)</f>
        <v>36230</v>
      </c>
      <c r="D27" s="16">
        <f>SUM(D28:D29)</f>
        <v>119050</v>
      </c>
      <c r="E27" s="16">
        <f>SUM(E28:E29)</f>
        <v>38720</v>
      </c>
      <c r="F27" s="17">
        <f t="shared" si="0"/>
        <v>1.0687275738338393</v>
      </c>
      <c r="G27" s="17">
        <f t="shared" si="1"/>
        <v>0.3252414951700966</v>
      </c>
      <c r="H27" s="16">
        <f>SUM(H28:H29)</f>
        <v>38720</v>
      </c>
      <c r="I27" s="17">
        <f t="shared" si="2"/>
        <v>1.0687275738338393</v>
      </c>
      <c r="J27" s="17">
        <f t="shared" si="3"/>
        <v>0.3252414951700966</v>
      </c>
      <c r="K27" s="16">
        <f>SUM(K28:K29)</f>
        <v>38720</v>
      </c>
      <c r="L27" s="17">
        <f t="shared" si="4"/>
        <v>1.0687275738338393</v>
      </c>
      <c r="M27" s="17">
        <f t="shared" si="5"/>
        <v>0.3252414951700966</v>
      </c>
    </row>
    <row r="28" spans="1:13" ht="25.5">
      <c r="A28" s="4" t="s">
        <v>69</v>
      </c>
      <c r="B28" s="20" t="s">
        <v>68</v>
      </c>
      <c r="C28" s="2">
        <f>22000</f>
        <v>22000</v>
      </c>
      <c r="D28" s="2">
        <f>5000</f>
        <v>5000</v>
      </c>
      <c r="E28" s="2">
        <f>0</f>
        <v>0</v>
      </c>
      <c r="F28" s="19">
        <f t="shared" si="0"/>
        <v>0</v>
      </c>
      <c r="G28" s="19">
        <f t="shared" si="1"/>
        <v>0</v>
      </c>
      <c r="H28" s="2">
        <f>0</f>
        <v>0</v>
      </c>
      <c r="I28" s="19">
        <f t="shared" si="2"/>
        <v>0</v>
      </c>
      <c r="J28" s="19">
        <f t="shared" si="3"/>
        <v>0</v>
      </c>
      <c r="K28" s="2">
        <f>0</f>
        <v>0</v>
      </c>
      <c r="L28" s="19">
        <f t="shared" si="4"/>
        <v>0</v>
      </c>
      <c r="M28" s="19">
        <f t="shared" si="5"/>
        <v>0</v>
      </c>
    </row>
    <row r="29" spans="1:13" ht="15" outlineLevel="1">
      <c r="A29" s="4" t="s">
        <v>40</v>
      </c>
      <c r="B29" s="18" t="s">
        <v>18</v>
      </c>
      <c r="C29" s="2">
        <f>14230</f>
        <v>14230</v>
      </c>
      <c r="D29" s="21">
        <f>114050</f>
        <v>114050</v>
      </c>
      <c r="E29" s="2">
        <f>38720</f>
        <v>38720</v>
      </c>
      <c r="F29" s="19">
        <f t="shared" si="0"/>
        <v>2.7210119465917075</v>
      </c>
      <c r="G29" s="19">
        <f t="shared" si="1"/>
        <v>0.3395002192021043</v>
      </c>
      <c r="H29" s="2">
        <f>38720</f>
        <v>38720</v>
      </c>
      <c r="I29" s="19">
        <f t="shared" si="2"/>
        <v>2.7210119465917075</v>
      </c>
      <c r="J29" s="19">
        <f t="shared" si="3"/>
        <v>0.3395002192021043</v>
      </c>
      <c r="K29" s="2">
        <f>38720</f>
        <v>38720</v>
      </c>
      <c r="L29" s="19">
        <f t="shared" si="4"/>
        <v>2.7210119465917075</v>
      </c>
      <c r="M29" s="19">
        <f t="shared" si="5"/>
        <v>0.3395002192021043</v>
      </c>
    </row>
    <row r="30" spans="1:13" s="1" customFormat="1" ht="15">
      <c r="A30" s="14" t="s">
        <v>41</v>
      </c>
      <c r="B30" s="15" t="s">
        <v>19</v>
      </c>
      <c r="C30" s="16">
        <f>C31</f>
        <v>26086926.88</v>
      </c>
      <c r="D30" s="16">
        <f>D31</f>
        <v>42061578.34</v>
      </c>
      <c r="E30" s="16">
        <f>E31</f>
        <v>28217022.3</v>
      </c>
      <c r="F30" s="17">
        <f t="shared" si="0"/>
        <v>1.0816537505471018</v>
      </c>
      <c r="G30" s="17">
        <f t="shared" si="1"/>
        <v>0.6708502964846182</v>
      </c>
      <c r="H30" s="16">
        <f>H31</f>
        <v>18767459.7</v>
      </c>
      <c r="I30" s="17">
        <f t="shared" si="2"/>
        <v>0.7194201059530857</v>
      </c>
      <c r="J30" s="17">
        <f t="shared" si="3"/>
        <v>0.44619009653644864</v>
      </c>
      <c r="K30" s="16">
        <f>K31</f>
        <v>19463681.18</v>
      </c>
      <c r="L30" s="17">
        <f t="shared" si="4"/>
        <v>0.7461086263450285</v>
      </c>
      <c r="M30" s="17">
        <f t="shared" si="5"/>
        <v>0.46274253007501376</v>
      </c>
    </row>
    <row r="31" spans="1:13" ht="15" outlineLevel="1">
      <c r="A31" s="4" t="s">
        <v>42</v>
      </c>
      <c r="B31" s="18" t="s">
        <v>20</v>
      </c>
      <c r="C31" s="2">
        <f>26086926.88</f>
        <v>26086926.88</v>
      </c>
      <c r="D31" s="2">
        <f>42061578.34</f>
        <v>42061578.34</v>
      </c>
      <c r="E31" s="2">
        <f>28217022.3</f>
        <v>28217022.3</v>
      </c>
      <c r="F31" s="19">
        <f t="shared" si="0"/>
        <v>1.0816537505471018</v>
      </c>
      <c r="G31" s="19">
        <f t="shared" si="1"/>
        <v>0.6708502964846182</v>
      </c>
      <c r="H31" s="2">
        <f>18767459.7</f>
        <v>18767459.7</v>
      </c>
      <c r="I31" s="19">
        <f t="shared" si="2"/>
        <v>0.7194201059530857</v>
      </c>
      <c r="J31" s="19">
        <f t="shared" si="3"/>
        <v>0.44619009653644864</v>
      </c>
      <c r="K31" s="2">
        <f>19463681.18</f>
        <v>19463681.18</v>
      </c>
      <c r="L31" s="19">
        <f t="shared" si="4"/>
        <v>0.7461086263450285</v>
      </c>
      <c r="M31" s="19">
        <f t="shared" si="5"/>
        <v>0.46274253007501376</v>
      </c>
    </row>
    <row r="32" spans="1:13" s="1" customFormat="1" ht="15">
      <c r="A32" s="14" t="s">
        <v>43</v>
      </c>
      <c r="B32" s="15" t="s">
        <v>21</v>
      </c>
      <c r="C32" s="16">
        <f>SUM(C33:C34)</f>
        <v>290794.72</v>
      </c>
      <c r="D32" s="16">
        <f>SUM(D33:D34)</f>
        <v>289674.7</v>
      </c>
      <c r="E32" s="16">
        <f>SUM(E33:E34)</f>
        <v>1778881.39</v>
      </c>
      <c r="F32" s="17">
        <f t="shared" si="0"/>
        <v>6.117309798472269</v>
      </c>
      <c r="G32" s="17">
        <f t="shared" si="1"/>
        <v>6.140962224177672</v>
      </c>
      <c r="H32" s="16">
        <f>SUM(H33:H34)</f>
        <v>1778881.39</v>
      </c>
      <c r="I32" s="17">
        <f t="shared" si="2"/>
        <v>6.117309798472269</v>
      </c>
      <c r="J32" s="17">
        <f t="shared" si="3"/>
        <v>6.140962224177672</v>
      </c>
      <c r="K32" s="16">
        <f>SUM(K33:K34)</f>
        <v>1778881.39</v>
      </c>
      <c r="L32" s="17">
        <f t="shared" si="4"/>
        <v>6.117309798472269</v>
      </c>
      <c r="M32" s="17">
        <f t="shared" si="5"/>
        <v>6.140962224177672</v>
      </c>
    </row>
    <row r="33" spans="1:13" ht="15" outlineLevel="1">
      <c r="A33" s="4" t="s">
        <v>44</v>
      </c>
      <c r="B33" s="18" t="s">
        <v>22</v>
      </c>
      <c r="C33" s="2">
        <f>235794.72</f>
        <v>235794.72</v>
      </c>
      <c r="D33" s="2">
        <f>249674.7</f>
        <v>249674.7</v>
      </c>
      <c r="E33" s="2">
        <f>250813.2</f>
        <v>250813.2</v>
      </c>
      <c r="F33" s="19">
        <f t="shared" si="0"/>
        <v>1.0636930292586704</v>
      </c>
      <c r="G33" s="19">
        <f t="shared" si="1"/>
        <v>1.004559933385321</v>
      </c>
      <c r="H33" s="2">
        <f>250813.2</f>
        <v>250813.2</v>
      </c>
      <c r="I33" s="19">
        <f t="shared" si="2"/>
        <v>1.0636930292586704</v>
      </c>
      <c r="J33" s="19">
        <f t="shared" si="3"/>
        <v>1.004559933385321</v>
      </c>
      <c r="K33" s="2">
        <f>250813.2</f>
        <v>250813.2</v>
      </c>
      <c r="L33" s="19">
        <f t="shared" si="4"/>
        <v>1.0636930292586704</v>
      </c>
      <c r="M33" s="19">
        <f t="shared" si="5"/>
        <v>1.004559933385321</v>
      </c>
    </row>
    <row r="34" spans="1:13" ht="15" outlineLevel="1">
      <c r="A34" s="4" t="s">
        <v>45</v>
      </c>
      <c r="B34" s="18" t="s">
        <v>23</v>
      </c>
      <c r="C34" s="2">
        <f>55000</f>
        <v>55000</v>
      </c>
      <c r="D34" s="2">
        <f>40000</f>
        <v>40000</v>
      </c>
      <c r="E34" s="2">
        <f>1528068.19</f>
        <v>1528068.19</v>
      </c>
      <c r="F34" s="19">
        <f t="shared" si="0"/>
        <v>27.783058</v>
      </c>
      <c r="G34" s="19">
        <f t="shared" si="1"/>
        <v>38.20170475</v>
      </c>
      <c r="H34" s="2">
        <f>1528068.19</f>
        <v>1528068.19</v>
      </c>
      <c r="I34" s="19">
        <f t="shared" si="2"/>
        <v>27.783058</v>
      </c>
      <c r="J34" s="19">
        <f t="shared" si="3"/>
        <v>38.20170475</v>
      </c>
      <c r="K34" s="2">
        <f>1528068.19</f>
        <v>1528068.19</v>
      </c>
      <c r="L34" s="19">
        <f t="shared" si="4"/>
        <v>27.783058</v>
      </c>
      <c r="M34" s="19">
        <f t="shared" si="5"/>
        <v>38.20170475</v>
      </c>
    </row>
    <row r="35" spans="1:13" s="1" customFormat="1" ht="15">
      <c r="A35" s="14" t="s">
        <v>46</v>
      </c>
      <c r="B35" s="15" t="s">
        <v>24</v>
      </c>
      <c r="C35" s="16">
        <f>C36</f>
        <v>74354.16</v>
      </c>
      <c r="D35" s="16">
        <f>D36</f>
        <v>77000</v>
      </c>
      <c r="E35" s="16">
        <f>E36</f>
        <v>77000</v>
      </c>
      <c r="F35" s="17">
        <f t="shared" si="0"/>
        <v>1.0355842901056242</v>
      </c>
      <c r="G35" s="17">
        <f t="shared" si="1"/>
        <v>1</v>
      </c>
      <c r="H35" s="16">
        <f>H36</f>
        <v>182717.71</v>
      </c>
      <c r="I35" s="17">
        <f t="shared" si="2"/>
        <v>2.4573972727282505</v>
      </c>
      <c r="J35" s="17">
        <f t="shared" si="3"/>
        <v>2.3729572727272727</v>
      </c>
      <c r="K35" s="16">
        <f>K36</f>
        <v>182717.71</v>
      </c>
      <c r="L35" s="17">
        <f t="shared" si="4"/>
        <v>2.4573972727282505</v>
      </c>
      <c r="M35" s="17">
        <f t="shared" si="5"/>
        <v>2.3729572727272727</v>
      </c>
    </row>
    <row r="36" spans="1:13" ht="15" outlineLevel="1">
      <c r="A36" s="4" t="s">
        <v>47</v>
      </c>
      <c r="B36" s="18" t="s">
        <v>25</v>
      </c>
      <c r="C36" s="2">
        <f>74354.16</f>
        <v>74354.16</v>
      </c>
      <c r="D36" s="2">
        <f>77000</f>
        <v>77000</v>
      </c>
      <c r="E36" s="2">
        <f>77000</f>
        <v>77000</v>
      </c>
      <c r="F36" s="19">
        <f t="shared" si="0"/>
        <v>1.0355842901056242</v>
      </c>
      <c r="G36" s="19">
        <f t="shared" si="1"/>
        <v>1</v>
      </c>
      <c r="H36" s="2">
        <f>182717.71</f>
        <v>182717.71</v>
      </c>
      <c r="I36" s="19">
        <f t="shared" si="2"/>
        <v>2.4573972727282505</v>
      </c>
      <c r="J36" s="19">
        <f t="shared" si="3"/>
        <v>2.3729572727272727</v>
      </c>
      <c r="K36" s="2">
        <f>182717.71</f>
        <v>182717.71</v>
      </c>
      <c r="L36" s="19">
        <f t="shared" si="4"/>
        <v>2.4573972727282505</v>
      </c>
      <c r="M36" s="19">
        <f t="shared" si="5"/>
        <v>2.3729572727272727</v>
      </c>
    </row>
    <row r="37" spans="1:13" s="1" customFormat="1" ht="26.25" customHeight="1">
      <c r="A37" s="14" t="s">
        <v>73</v>
      </c>
      <c r="B37" s="15" t="s">
        <v>26</v>
      </c>
      <c r="C37" s="16">
        <f>C38</f>
        <v>24759.48</v>
      </c>
      <c r="D37" s="16">
        <f>D38</f>
        <v>0</v>
      </c>
      <c r="E37" s="16">
        <f>E38</f>
        <v>0</v>
      </c>
      <c r="F37" s="17">
        <f t="shared" si="0"/>
        <v>0</v>
      </c>
      <c r="G37" s="17">
        <f>0</f>
        <v>0</v>
      </c>
      <c r="H37" s="16">
        <f>H38</f>
        <v>0</v>
      </c>
      <c r="I37" s="17">
        <f t="shared" si="2"/>
        <v>0</v>
      </c>
      <c r="J37" s="17">
        <f>0</f>
        <v>0</v>
      </c>
      <c r="K37" s="16">
        <f>K38</f>
        <v>0</v>
      </c>
      <c r="L37" s="17">
        <f t="shared" si="4"/>
        <v>0</v>
      </c>
      <c r="M37" s="17">
        <f>0</f>
        <v>0</v>
      </c>
    </row>
    <row r="38" spans="1:13" ht="25.5" outlineLevel="1">
      <c r="A38" s="4" t="s">
        <v>74</v>
      </c>
      <c r="B38" s="18" t="s">
        <v>27</v>
      </c>
      <c r="C38" s="2">
        <f>24759.48</f>
        <v>24759.48</v>
      </c>
      <c r="D38" s="2">
        <f>0</f>
        <v>0</v>
      </c>
      <c r="E38" s="2">
        <f>0</f>
        <v>0</v>
      </c>
      <c r="F38" s="19">
        <f t="shared" si="0"/>
        <v>0</v>
      </c>
      <c r="G38" s="19">
        <f>0</f>
        <v>0</v>
      </c>
      <c r="H38" s="2">
        <f>0</f>
        <v>0</v>
      </c>
      <c r="I38" s="19">
        <f t="shared" si="2"/>
        <v>0</v>
      </c>
      <c r="J38" s="19">
        <f>0</f>
        <v>0</v>
      </c>
      <c r="K38" s="2">
        <f>0</f>
        <v>0</v>
      </c>
      <c r="L38" s="19">
        <f t="shared" si="4"/>
        <v>0</v>
      </c>
      <c r="M38" s="19">
        <f>0</f>
        <v>0</v>
      </c>
    </row>
    <row r="39" spans="1:13" s="3" customFormat="1" ht="18.75" customHeight="1">
      <c r="A39" s="28" t="s">
        <v>62</v>
      </c>
      <c r="B39" s="28"/>
      <c r="C39" s="22">
        <f>C6+C14+C18+C23+C27+C30+C32+C35+C37</f>
        <v>121612438.93999998</v>
      </c>
      <c r="D39" s="22">
        <f>D6+D14+D18+D23+D27+D30+D32+D35+D37</f>
        <v>158275986.91</v>
      </c>
      <c r="E39" s="22">
        <f>E6+E14+E18+E23+E27+E30+E32+E35+E37</f>
        <v>103550629.46</v>
      </c>
      <c r="F39" s="23">
        <f>E39/C39</f>
        <v>0.8514805751991278</v>
      </c>
      <c r="G39" s="23">
        <f t="shared" si="1"/>
        <v>0.6542409337108205</v>
      </c>
      <c r="H39" s="22">
        <f>H6+H14+H18+H23+H27+H30+H32+H35+H37</f>
        <v>68631020</v>
      </c>
      <c r="I39" s="23">
        <f>H39/C39</f>
        <v>0.5643421067631127</v>
      </c>
      <c r="J39" s="23">
        <f>H39/D39</f>
        <v>0.43361612421362095</v>
      </c>
      <c r="K39" s="22">
        <f>K6+K14+K18+K23+K27+K30+K32+K35+K37</f>
        <v>66871250</v>
      </c>
      <c r="L39" s="23">
        <f>K39/C39</f>
        <v>0.5498717942248681</v>
      </c>
      <c r="M39" s="23">
        <f>K39/D39</f>
        <v>0.4224977604342774</v>
      </c>
    </row>
    <row r="40" spans="1:13" ht="15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24"/>
      <c r="M40" s="24"/>
    </row>
  </sheetData>
  <sheetProtection/>
  <mergeCells count="4">
    <mergeCell ref="A2:K2"/>
    <mergeCell ref="A39:B39"/>
    <mergeCell ref="A40:K40"/>
    <mergeCell ref="A1:M1"/>
  </mergeCells>
  <printOptions/>
  <pageMargins left="0.984251968503937" right="0.3937007874015748" top="0.7874015748031497" bottom="0.5905511811023623" header="0.3937007874015748" footer="0.511811023622047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Жирякова</cp:lastModifiedBy>
  <cp:lastPrinted>2022-11-07T07:30:32Z</cp:lastPrinted>
  <dcterms:created xsi:type="dcterms:W3CDTF">2018-10-31T12:49:20Z</dcterms:created>
  <dcterms:modified xsi:type="dcterms:W3CDTF">2022-11-07T07:36:10Z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