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 № 6 Распредел. на 2022" sheetId="1" r:id="rId1"/>
  </sheets>
  <calcPr calcId="152511"/>
</workbook>
</file>

<file path=xl/calcChain.xml><?xml version="1.0" encoding="utf-8"?>
<calcChain xmlns="http://schemas.openxmlformats.org/spreadsheetml/2006/main">
  <c r="D286" i="1" l="1"/>
  <c r="D82" i="1" l="1"/>
  <c r="D191" i="1" l="1"/>
  <c r="D170" i="1"/>
  <c r="D103" i="1"/>
  <c r="D37" i="1"/>
  <c r="D34" i="1"/>
  <c r="D33" i="1"/>
  <c r="D32" i="1"/>
  <c r="D31" i="1"/>
  <c r="D30" i="1"/>
  <c r="D29" i="1"/>
  <c r="D28" i="1"/>
  <c r="D27" i="1"/>
  <c r="D328" i="1" l="1"/>
  <c r="D313" i="1"/>
  <c r="D192" i="1"/>
  <c r="D106" i="1"/>
  <c r="D50" i="1"/>
  <c r="D49" i="1"/>
  <c r="D312" i="1" l="1"/>
  <c r="D200" i="1"/>
  <c r="D394" i="1" l="1"/>
  <c r="D393" i="1"/>
  <c r="D387" i="1"/>
  <c r="D386" i="1"/>
  <c r="D385" i="1"/>
  <c r="D384" i="1"/>
  <c r="D380" i="1"/>
  <c r="D378" i="1"/>
  <c r="D368" i="1"/>
  <c r="D367" i="1"/>
  <c r="D315" i="1"/>
  <c r="D311" i="1"/>
  <c r="D309" i="1"/>
  <c r="D281" i="1"/>
  <c r="D280" i="1"/>
  <c r="D222" i="1"/>
  <c r="D207" i="1"/>
  <c r="D123" i="1"/>
  <c r="D108" i="1"/>
  <c r="D93" i="1"/>
  <c r="D52" i="1"/>
  <c r="D51" i="1"/>
  <c r="D40" i="1"/>
  <c r="D38" i="1" s="1"/>
  <c r="D22" i="1"/>
  <c r="D206" i="1" l="1"/>
  <c r="D204" i="1"/>
  <c r="D59" i="1" l="1"/>
  <c r="D416" i="1"/>
  <c r="D406" i="1" l="1"/>
  <c r="D333" i="1"/>
  <c r="D326" i="1"/>
  <c r="D323" i="1"/>
  <c r="D302" i="1"/>
  <c r="D266" i="1"/>
  <c r="D258" i="1"/>
  <c r="D257" i="1"/>
  <c r="D254" i="1"/>
  <c r="D212" i="1"/>
  <c r="D211" i="1"/>
  <c r="D186" i="1"/>
  <c r="D184" i="1"/>
  <c r="D175" i="1"/>
  <c r="D152" i="1"/>
  <c r="D147" i="1"/>
  <c r="D133" i="1"/>
  <c r="D132" i="1"/>
  <c r="D19" i="1"/>
  <c r="D63" i="1"/>
  <c r="D62" i="1"/>
  <c r="D58" i="1"/>
  <c r="D47" i="1"/>
  <c r="D46" i="1"/>
  <c r="D45" i="1"/>
  <c r="D20" i="1"/>
  <c r="D174" i="1" l="1"/>
  <c r="D159" i="1"/>
  <c r="D334" i="1" l="1"/>
  <c r="D294" i="1"/>
  <c r="D289" i="1"/>
  <c r="D279" i="1"/>
  <c r="D250" i="1"/>
  <c r="D131" i="1"/>
  <c r="D101" i="1"/>
  <c r="D72" i="1"/>
  <c r="D53" i="1"/>
  <c r="D369" i="1" l="1"/>
  <c r="D88" i="1"/>
  <c r="D87" i="1"/>
  <c r="D86" i="1"/>
  <c r="D85" i="1"/>
  <c r="D84" i="1"/>
  <c r="D81" i="1"/>
  <c r="D80" i="1"/>
  <c r="D61" i="1"/>
  <c r="D60" i="1"/>
  <c r="D57" i="1"/>
  <c r="D56" i="1"/>
  <c r="D44" i="1"/>
  <c r="D277" i="1" l="1"/>
  <c r="D419" i="1"/>
  <c r="D412" i="1"/>
  <c r="D366" i="1"/>
  <c r="D365" i="1" s="1"/>
  <c r="D287" i="1"/>
  <c r="D244" i="1"/>
  <c r="D194" i="1"/>
  <c r="D188" i="1"/>
  <c r="D144" i="1"/>
  <c r="D55" i="1"/>
  <c r="D48" i="1"/>
  <c r="D18" i="1"/>
  <c r="D308" i="1" l="1"/>
  <c r="D183" i="1"/>
  <c r="D181" i="1"/>
  <c r="D176" i="1"/>
  <c r="D163" i="1"/>
  <c r="D107" i="1" l="1"/>
  <c r="D417" i="1"/>
  <c r="D379" i="1"/>
  <c r="D377" i="1"/>
  <c r="D381" i="1"/>
  <c r="D373" i="1"/>
  <c r="D322" i="1"/>
  <c r="D318" i="1"/>
  <c r="D261" i="1"/>
  <c r="D255" i="1"/>
  <c r="D242" i="1"/>
  <c r="D239" i="1"/>
  <c r="D182" i="1"/>
  <c r="D177" i="1"/>
  <c r="D142" i="1"/>
  <c r="D141" i="1"/>
  <c r="D73" i="1"/>
  <c r="D25" i="1"/>
  <c r="D24" i="1"/>
  <c r="D390" i="1" l="1"/>
  <c r="D171" i="1" l="1"/>
  <c r="D143" i="1"/>
  <c r="D285" i="1" l="1"/>
  <c r="D284" i="1" s="1"/>
  <c r="D283" i="1" s="1"/>
  <c r="D229" i="1"/>
  <c r="D149" i="1"/>
  <c r="D227" i="1" l="1"/>
  <c r="D167" i="1"/>
  <c r="D115" i="1"/>
  <c r="D114" i="1"/>
  <c r="D146" i="1" l="1"/>
  <c r="D260" i="1" l="1"/>
  <c r="D235" i="1"/>
  <c r="D219" i="1"/>
  <c r="D372" i="1" l="1"/>
  <c r="D348" i="1"/>
  <c r="D347" i="1" s="1"/>
  <c r="D343" i="1"/>
  <c r="D340" i="1"/>
  <c r="D339" i="1"/>
  <c r="D329" i="1"/>
  <c r="D327" i="1" s="1"/>
  <c r="D297" i="1"/>
  <c r="D162" i="1"/>
  <c r="D155" i="1"/>
  <c r="D140" i="1"/>
  <c r="D151" i="1" l="1"/>
  <c r="D122" i="1"/>
  <c r="D36" i="1"/>
  <c r="D23" i="1" s="1"/>
  <c r="D225" i="1" l="1"/>
  <c r="D90" i="1" l="1"/>
  <c r="D89" i="1" s="1"/>
  <c r="D54" i="1"/>
  <c r="D414" i="1" l="1"/>
  <c r="D392" i="1" s="1"/>
  <c r="D105" i="1"/>
  <c r="D97" i="1" s="1"/>
  <c r="D238" i="1"/>
  <c r="D237" i="1" s="1"/>
  <c r="D224" i="1" l="1"/>
  <c r="D218" i="1"/>
  <c r="D217" i="1" s="1"/>
  <c r="D202" i="1"/>
  <c r="D166" i="1" l="1"/>
  <c r="D43" i="1"/>
  <c r="D42" i="1" l="1"/>
  <c r="D17" i="1" l="1"/>
  <c r="D16" i="1" s="1"/>
  <c r="D110" i="1"/>
  <c r="D121" i="1"/>
  <c r="D94" i="1"/>
  <c r="D335" i="1" l="1"/>
  <c r="D321" i="1"/>
  <c r="D215" i="1" l="1"/>
  <c r="D241" i="1"/>
  <c r="D223" i="1"/>
  <c r="D92" i="1" l="1"/>
  <c r="D332" i="1" l="1"/>
  <c r="D320" i="1" l="1"/>
  <c r="D276" i="1"/>
  <c r="D253" i="1"/>
  <c r="D252" i="1" s="1"/>
  <c r="D247" i="1"/>
  <c r="D210" i="1" l="1"/>
  <c r="D209" i="1" l="1"/>
  <c r="D198" i="1"/>
  <c r="D195" i="1"/>
  <c r="D161" i="1"/>
  <c r="D160" i="1" l="1"/>
  <c r="D109" i="1"/>
  <c r="D91" i="1" s="1"/>
  <c r="D116" i="1"/>
  <c r="D119" i="1"/>
  <c r="D126" i="1"/>
  <c r="D130" i="1"/>
  <c r="D136" i="1"/>
  <c r="D150" i="1"/>
  <c r="D158" i="1"/>
  <c r="D180" i="1"/>
  <c r="D164" i="1" s="1"/>
  <c r="D193" i="1"/>
  <c r="D197" i="1"/>
  <c r="D221" i="1"/>
  <c r="D231" i="1"/>
  <c r="D234" i="1"/>
  <c r="D243" i="1"/>
  <c r="D240" i="1" s="1"/>
  <c r="D246" i="1"/>
  <c r="D263" i="1"/>
  <c r="D270" i="1"/>
  <c r="D278" i="1"/>
  <c r="D293" i="1"/>
  <c r="D300" i="1"/>
  <c r="D304" i="1"/>
  <c r="D310" i="1"/>
  <c r="D314" i="1"/>
  <c r="D316" i="1"/>
  <c r="D325" i="1"/>
  <c r="D338" i="1"/>
  <c r="D352" i="1"/>
  <c r="D354" i="1"/>
  <c r="D358" i="1"/>
  <c r="D361" i="1"/>
  <c r="D391" i="1"/>
  <c r="D360" i="1" l="1"/>
  <c r="D364" i="1"/>
  <c r="D342" i="1"/>
  <c r="D226" i="1"/>
  <c r="D125" i="1"/>
  <c r="D157" i="1"/>
  <c r="D269" i="1"/>
  <c r="D220" i="1"/>
  <c r="D118" i="1"/>
  <c r="D262" i="1"/>
  <c r="D112" i="1"/>
  <c r="D357" i="1"/>
  <c r="D303" i="1"/>
  <c r="D233" i="1"/>
  <c r="D135" i="1"/>
  <c r="D337" i="1"/>
  <c r="D371" i="1"/>
  <c r="D346" i="1"/>
  <c r="D292" i="1"/>
  <c r="D230" i="1"/>
  <c r="D129" i="1"/>
  <c r="D187" i="1"/>
  <c r="D296" i="1"/>
  <c r="D307" i="1"/>
  <c r="D351" i="1"/>
  <c r="D324" i="1"/>
  <c r="D331" i="1"/>
  <c r="D295" i="1" l="1"/>
  <c r="D208" i="1"/>
  <c r="D245" i="1"/>
  <c r="D356" i="1"/>
  <c r="D201" i="1"/>
  <c r="D291" i="1"/>
  <c r="D111" i="1"/>
  <c r="D15" i="1" s="1"/>
  <c r="D139" i="1"/>
  <c r="D363" i="1"/>
  <c r="D336" i="1"/>
  <c r="D306" i="1"/>
  <c r="D275" i="1"/>
  <c r="D350" i="1"/>
  <c r="D138" i="1" l="1"/>
  <c r="D268" i="1"/>
  <c r="D420" i="1" l="1"/>
</calcChain>
</file>

<file path=xl/sharedStrings.xml><?xml version="1.0" encoding="utf-8"?>
<sst xmlns="http://schemas.openxmlformats.org/spreadsheetml/2006/main" count="825" uniqueCount="771">
  <si>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</si>
  <si>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</si>
  <si>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</si>
  <si>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</si>
  <si>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</si>
  <si>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</si>
  <si>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</si>
  <si>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</si>
  <si>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</si>
  <si>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</si>
  <si>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</si>
  <si>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</si>
  <si>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</si>
  <si>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</si>
  <si>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</si>
  <si>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</si>
  <si>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</si>
  <si>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</si>
  <si>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</si>
  <si>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</si>
  <si>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</si>
  <si>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</si>
  <si>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</si>
  <si>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</si>
  <si>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</si>
  <si>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</si>
  <si>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</si>
  <si>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</si>
  <si>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</si>
  <si>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</si>
  <si>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</si>
  <si>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</si>
  <si>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</si>
  <si>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</si>
  <si>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</si>
  <si>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</si>
  <si>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</si>
  <si>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</si>
  <si>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</si>
  <si>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</si>
  <si>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</si>
  <si>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</si>
  <si>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</si>
  <si>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</si>
  <si>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</si>
  <si>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</si>
  <si>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</si>
  <si>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</si>
  <si>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</si>
  <si>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</si>
  <si>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</si>
  <si>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</si>
  <si>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</si>
  <si>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</si>
  <si>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</si>
  <si>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</si>
  <si>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</si>
  <si>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</si>
  <si>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</si>
  <si>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</si>
  <si>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</si>
  <si>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</si>
  <si>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</si>
  <si>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</si>
  <si>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</si>
  <si>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</si>
  <si>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</si>
  <si>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</si>
  <si>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</si>
  <si>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</si>
  <si>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</si>
  <si>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</si>
  <si>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</si>
  <si>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</si>
  <si>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</si>
  <si>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</si>
  <si>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</si>
  <si>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</si>
  <si>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</si>
  <si>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</si>
  <si>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</si>
  <si>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</si>
  <si>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</si>
  <si>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</si>
  <si>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</si>
  <si>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</si>
  <si>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</si>
  <si>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</si>
  <si>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</si>
  <si>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</si>
  <si>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</si>
  <si>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</si>
  <si>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</si>
  <si>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</si>
  <si>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</si>
  <si>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</si>
  <si>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</si>
  <si>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</si>
  <si>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</si>
  <si>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</si>
  <si>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</si>
  <si>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</si>
  <si>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</si>
  <si>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</si>
  <si>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</si>
  <si>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</si>
  <si>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</si>
  <si>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</si>
  <si>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</si>
  <si>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</si>
  <si>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</si>
  <si>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</si>
  <si>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</si>
  <si>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</si>
  <si>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</si>
  <si>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</si>
  <si>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</si>
  <si>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</si>
  <si>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</si>
  <si>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</si>
  <si>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</si>
  <si>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</si>
  <si>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</si>
  <si>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</si>
  <si>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</si>
  <si>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</si>
  <si>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</si>
  <si>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</si>
  <si>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</si>
  <si>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</si>
  <si>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</si>
  <si>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</si>
  <si>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</si>
  <si>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</si>
  <si>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</si>
  <si>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</si>
  <si>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</si>
  <si>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</si>
  <si>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</si>
  <si>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</si>
  <si>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</si>
  <si>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</si>
  <si>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</si>
  <si>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</si>
  <si>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</si>
  <si>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</si>
  <si>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</si>
  <si>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</si>
  <si>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</si>
  <si>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</si>
  <si>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</si>
  <si>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</si>
  <si>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</si>
  <si>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</si>
  <si>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</si>
  <si>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</si>
  <si>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</si>
  <si>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</si>
  <si>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</si>
  <si>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</si>
  <si>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</si>
  <si>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</si>
  <si>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</si>
  <si>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</si>
  <si>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</si>
  <si>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</si>
  <si>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</si>
  <si>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</si>
  <si>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</si>
  <si>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</si>
  <si>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</si>
  <si>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</si>
  <si>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</si>
  <si>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</si>
  <si>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</si>
  <si>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</si>
  <si>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</si>
  <si>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</si>
  <si>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</si>
  <si>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</si>
  <si>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</si>
  <si>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</si>
  <si>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</si>
  <si>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</si>
  <si>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</si>
  <si>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</si>
  <si>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</si>
  <si>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</si>
  <si>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</si>
  <si>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</si>
  <si>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</si>
  <si>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</si>
  <si>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</si>
  <si>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</si>
  <si>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</si>
  <si>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</si>
  <si>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</si>
  <si>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</si>
  <si>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</si>
  <si>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</si>
  <si>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</si>
  <si>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</si>
  <si>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</si>
  <si>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</si>
  <si>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</si>
  <si>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</si>
  <si>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</si>
  <si>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</si>
  <si>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</si>
  <si>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</si>
  <si>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</si>
  <si>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</si>
  <si>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</si>
  <si>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</si>
  <si>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</si>
  <si>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</si>
  <si>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</si>
  <si>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</si>
  <si>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</si>
  <si>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</si>
  <si>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</si>
  <si>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</si>
  <si>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</si>
  <si>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</si>
  <si>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</si>
  <si>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</si>
  <si>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</si>
  <si>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</si>
  <si>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</si>
  <si>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</si>
  <si>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</si>
  <si>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</si>
  <si>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</si>
  <si>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</si>
  <si>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</si>
  <si>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</si>
  <si>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</si>
  <si>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</si>
  <si>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</si>
  <si>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</si>
  <si>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</si>
  <si>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</si>
  <si>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</si>
  <si>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</si>
  <si>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</si>
  <si>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</si>
  <si>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</si>
  <si>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</si>
  <si>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</si>
  <si>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</si>
  <si>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</si>
  <si>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</si>
  <si>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</si>
  <si>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</si>
  <si>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</si>
  <si>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</si>
  <si>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</si>
  <si>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</si>
  <si>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</si>
  <si>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</si>
  <si>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</si>
  <si>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</si>
  <si>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</si>
  <si>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</si>
  <si>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</si>
  <si>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</si>
  <si>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</si>
  <si>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</si>
  <si>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</si>
  <si>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</si>
  <si>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</si>
  <si>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</si>
  <si>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</si>
  <si>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</si>
  <si>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</si>
  <si>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</si>
  <si>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</si>
  <si>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</si>
  <si>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</si>
  <si>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</si>
  <si>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</si>
  <si>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</si>
  <si>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</si>
  <si>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</si>
  <si>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</si>
  <si>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</si>
  <si>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</si>
  <si>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</si>
  <si>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</si>
  <si>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</si>
  <si>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</si>
  <si>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</si>
  <si>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</si>
  <si>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</si>
  <si>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</si>
  <si>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</si>
  <si>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</si>
  <si>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</si>
  <si>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</si>
  <si>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</si>
  <si>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</si>
  <si>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</si>
  <si>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</si>
  <si>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</si>
  <si>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</si>
  <si>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</si>
  <si>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</si>
  <si>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</si>
  <si>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</si>
  <si>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</si>
  <si>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</si>
  <si>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</si>
  <si>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</si>
  <si>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</si>
  <si>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</si>
  <si>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</si>
  <si>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</si>
  <si>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</si>
  <si>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</si>
  <si>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</si>
  <si>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</si>
  <si>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</si>
  <si>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</si>
  <si>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</si>
  <si>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</si>
  <si>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</si>
  <si>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</si>
  <si>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</si>
  <si>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</si>
  <si>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</si>
  <si>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</si>
  <si>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</si>
  <si>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</si>
  <si>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</si>
  <si>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</si>
  <si>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</si>
  <si>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</si>
  <si>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</si>
  <si>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</si>
  <si>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</si>
  <si>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</si>
  <si>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</si>
  <si>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</si>
  <si>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</si>
  <si>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</si>
  <si>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</si>
  <si>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</si>
  <si>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</si>
  <si>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</si>
  <si>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</si>
  <si>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</si>
  <si>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</si>
  <si>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</si>
  <si>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</si>
  <si>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</si>
  <si>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</si>
  <si>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</si>
  <si>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</si>
  <si>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</si>
  <si>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</si>
  <si>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</si>
  <si>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</si>
  <si>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</si>
  <si>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</si>
  <si>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</si>
  <si>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</si>
  <si>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</si>
  <si>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</si>
  <si>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</si>
  <si>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</si>
  <si>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</si>
  <si>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</si>
  <si>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</si>
  <si>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</si>
  <si>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</si>
  <si>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</si>
  <si>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</si>
  <si>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</si>
  <si>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</si>
  <si>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</si>
  <si>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</si>
  <si>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</si>
  <si>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</si>
  <si>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</si>
  <si>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</si>
  <si>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</si>
  <si>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</si>
  <si>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</si>
  <si>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</si>
  <si>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</si>
  <si>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</si>
  <si>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</si>
  <si>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</si>
  <si>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</si>
  <si>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</si>
  <si>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</si>
  <si>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</si>
  <si>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</si>
  <si>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</si>
  <si>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</si>
  <si>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</si>
  <si>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</si>
  <si>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</si>
  <si>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</si>
  <si>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</si>
  <si>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</si>
  <si>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</si>
  <si>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</si>
  <si>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</si>
  <si>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</si>
  <si>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</si>
  <si>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</si>
  <si>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</si>
  <si>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2022 год</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</si>
  <si>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</si>
  <si>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</si>
  <si>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</si>
  <si>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</si>
  <si>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</si>
  <si>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</si>
  <si>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</si>
  <si>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</si>
  <si>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</si>
  <si>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</si>
  <si>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</si>
  <si>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</si>
  <si>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</si>
  <si>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</si>
  <si>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</si>
  <si>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</si>
  <si>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</si>
  <si>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</si>
  <si>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01 2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</si>
  <si>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</si>
  <si>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</si>
  <si>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</si>
  <si>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</si>
  <si>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</si>
  <si>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</si>
  <si>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</si>
  <si>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</si>
  <si>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</si>
  <si>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</si>
  <si>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</si>
  <si>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</si>
  <si>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</si>
  <si>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</si>
  <si>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</si>
  <si>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</si>
  <si>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</si>
  <si>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</si>
  <si>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</si>
  <si>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</si>
  <si>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</si>
  <si>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</si>
  <si>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</si>
  <si>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</si>
  <si>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</si>
  <si>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</si>
  <si>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</si>
  <si>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</si>
  <si>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</si>
  <si>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</si>
  <si>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</si>
  <si>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</si>
  <si>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</si>
  <si>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</si>
  <si>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</si>
  <si>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</si>
  <si>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</si>
  <si>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</si>
  <si>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</si>
  <si>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</si>
  <si>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</si>
  <si>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01 1 02 23600</t>
  </si>
  <si>
    <t>01 2 02 23630</t>
  </si>
  <si>
    <t>01 2 02 23690</t>
  </si>
  <si>
    <t>01 3 01 00320</t>
  </si>
  <si>
    <t>01 3 01 S1420</t>
  </si>
  <si>
    <t>01 9 00 00000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</si>
  <si>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</si>
  <si>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</si>
  <si>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</si>
  <si>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</si>
  <si>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</si>
  <si>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</si>
  <si>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</si>
  <si>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</si>
  <si>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</si>
  <si>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</si>
  <si>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</si>
  <si>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</si>
  <si>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</si>
  <si>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</si>
  <si>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</si>
  <si>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</si>
  <si>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</si>
  <si>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</si>
  <si>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</si>
  <si>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</si>
  <si>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</si>
  <si>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03 10010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</si>
  <si>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</si>
  <si>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</si>
  <si>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</si>
  <si>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</si>
  <si>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02 Д 07 60130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</si>
  <si>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</si>
  <si>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</si>
  <si>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</si>
  <si>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</si>
  <si>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</si>
  <si>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</si>
  <si>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</si>
  <si>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</si>
  <si>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</si>
  <si>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</si>
  <si>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</si>
  <si>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</si>
  <si>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</si>
  <si>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</si>
  <si>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</si>
  <si>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</si>
  <si>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</si>
  <si>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</si>
  <si>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</si>
  <si>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</si>
  <si>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</si>
  <si>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</si>
  <si>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</si>
  <si>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</si>
  <si>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</si>
  <si>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</si>
  <si>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</si>
  <si>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</si>
  <si>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</si>
  <si>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Содержание и обслуживание казны (Закупка товаров, работ и услуг для обеспечения государственных (муниципальных) нужд) </t>
  </si>
  <si>
    <t>31 9 00 00240</t>
  </si>
  <si>
    <t>Содержание и обслуживание казны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</si>
  <si>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</si>
  <si>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</si>
  <si>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</si>
  <si>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</si>
  <si>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</si>
  <si>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</si>
  <si>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</si>
  <si>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</si>
  <si>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</si>
  <si>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</si>
  <si>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</si>
  <si>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</si>
  <si>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</si>
  <si>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</si>
  <si>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2022 год</t>
  </si>
  <si>
    <t>к решению Совета Южского</t>
  </si>
  <si>
    <t>муниципального района</t>
  </si>
  <si>
    <t>"О бюджете Южского</t>
  </si>
  <si>
    <t>на 2022 год и на плановый</t>
  </si>
  <si>
    <t>период 2023 и 2024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</si>
  <si>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</si>
  <si>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</si>
  <si>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</si>
  <si>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</si>
  <si>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</si>
  <si>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</si>
  <si>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</si>
  <si>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</si>
  <si>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</si>
  <si>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</si>
  <si>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</si>
  <si>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</si>
  <si>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</si>
  <si>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</si>
  <si>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</si>
  <si>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05 3 01 25000 </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</si>
  <si>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</si>
  <si>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</si>
  <si>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</si>
  <si>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</si>
  <si>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</si>
  <si>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 xml:space="preserve">02 1 03 10190 </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</si>
  <si>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</si>
  <si>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</si>
  <si>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</si>
  <si>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</si>
  <si>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</si>
  <si>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</si>
  <si>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</si>
  <si>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31 9 00 25010</t>
  </si>
  <si>
    <t>от 23.12.2021 № 115</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</si>
  <si>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</si>
  <si>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</si>
  <si>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</si>
  <si>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</si>
  <si>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</si>
  <si>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</si>
  <si>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</si>
  <si>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</si>
  <si>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</si>
  <si>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</si>
  <si>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02 1 03 23870</t>
  </si>
  <si>
    <t>02 1 03 24040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</si>
  <si>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</si>
  <si>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</si>
  <si>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</si>
  <si>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</si>
  <si>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</si>
  <si>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</si>
  <si>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</si>
  <si>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</si>
  <si>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</si>
  <si>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30 9 00 10011</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</si>
  <si>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</si>
  <si>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31 9 00 90040</t>
  </si>
  <si>
    <t>Исполнение судебных актов, оплата судебных издержек по ним (Иные бюджетные ассигнования)</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</si>
  <si>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</si>
  <si>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</si>
  <si>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31 9 00 25080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</si>
  <si>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</si>
  <si>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</si>
  <si>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</si>
  <si>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</si>
  <si>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</si>
  <si>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</si>
  <si>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</si>
  <si>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</si>
  <si>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</si>
  <si>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</si>
  <si>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04 4 04 00000</t>
  </si>
  <si>
    <t>04 4 04 25160</t>
  </si>
  <si>
    <t>Основное мероприятие «Организация мероприятий по устройству спортивных площадок»</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</si>
  <si>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</si>
  <si>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2 02 L7500</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</si>
  <si>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</si>
  <si>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S3010</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</si>
  <si>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</si>
  <si>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</si>
  <si>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01 2 02 25290</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</si>
  <si>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</si>
  <si>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</si>
  <si>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 xml:space="preserve">02 Д 01 25280 </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</si>
  <si>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</si>
  <si>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</si>
  <si>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</si>
  <si>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</si>
  <si>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</si>
  <si>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</si>
  <si>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</si>
  <si>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01 2 02 25320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</si>
  <si>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</si>
  <si>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01 2 02 25330</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</si>
  <si>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</si>
  <si>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</si>
  <si>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</si>
  <si>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</si>
  <si>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</si>
  <si>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</si>
  <si>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</si>
  <si>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</si>
  <si>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30 9 00 25340</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</si>
  <si>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</si>
  <si>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30 9 00 25360</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</si>
  <si>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</si>
  <si>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31 9 00 25350</t>
  </si>
  <si>
    <t>Оплата административного штрафа по постановлению УФСБ России по Ивановской области от 20.04.2022 № 23/29-22 (Иные бюджетные ассигнования)</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</si>
  <si>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</si>
  <si>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</si>
  <si>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</si>
  <si>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</si>
  <si>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</si>
  <si>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</si>
  <si>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</si>
  <si>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</si>
  <si>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01 3 03 00000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</si>
  <si>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</si>
  <si>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</si>
  <si>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</si>
  <si>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</si>
  <si>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</si>
  <si>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</si>
  <si>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</si>
  <si>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</si>
  <si>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</si>
  <si>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</si>
  <si>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</si>
  <si>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</si>
  <si>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</si>
  <si>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</si>
  <si>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</si>
  <si>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</si>
  <si>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</si>
  <si>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01 1 02 S8900</t>
  </si>
  <si>
    <t>01 2 02 25560</t>
  </si>
  <si>
    <t>01 2 02 25570</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</si>
  <si>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</si>
  <si>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</si>
  <si>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</si>
  <si>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05 4 02 00000</t>
  </si>
  <si>
    <t>05 4 02 25580</t>
  </si>
  <si>
    <t>Основное мероприятие "Проведение государственной историко-культурной экспертизы объекта культурного наследия сельских поселений Южского муниципального района"</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</si>
  <si>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</si>
  <si>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</si>
  <si>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</si>
  <si>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</si>
  <si>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</si>
  <si>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</si>
  <si>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</si>
  <si>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</si>
  <si>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</si>
  <si>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</si>
  <si>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</si>
  <si>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</si>
  <si>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</si>
  <si>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</si>
  <si>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</si>
  <si>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05 4 03 00000</t>
  </si>
  <si>
    <t>05 4 03 25600</t>
  </si>
  <si>
    <t>Основное мероприятие "Установление границ охранных зон на территории Южского муниципального района"</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</si>
  <si>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</si>
  <si>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</si>
  <si>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</si>
  <si>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</si>
  <si>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</si>
  <si>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</si>
  <si>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</si>
  <si>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</si>
  <si>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</si>
  <si>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</si>
  <si>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</si>
  <si>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</si>
  <si>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</si>
  <si>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</si>
  <si>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</si>
  <si>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</si>
  <si>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</si>
  <si>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</si>
  <si>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Приложение № 4</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</si>
  <si>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</si>
  <si>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</si>
  <si>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</si>
  <si>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</si>
  <si>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</si>
  <si>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</si>
  <si>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01 2 02 89700</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</si>
  <si>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</si>
  <si>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</si>
  <si>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</si>
  <si>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</si>
  <si>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01 1 02 25690</t>
  </si>
  <si>
    <t>01 1 02 25700</t>
  </si>
  <si>
    <t>01 1 02 25710</t>
  </si>
  <si>
    <t>01 1 02 25720</t>
  </si>
  <si>
    <t>01 1 02 25730</t>
  </si>
  <si>
    <t>01 1 02 25740</t>
  </si>
  <si>
    <t>01 1 02 25750</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</si>
  <si>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</si>
  <si>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</si>
  <si>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</si>
  <si>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</si>
  <si>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</si>
  <si>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</si>
  <si>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</si>
  <si>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</si>
  <si>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</si>
  <si>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</si>
  <si>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</si>
  <si>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</si>
  <si>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</si>
  <si>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</si>
  <si>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</si>
  <si>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(приложение изложено в новой редакции в соответствии с решением Совета Южского муниципального района от 30.12.2022 № 162)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</si>
</sst>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0" borderId="1" xfId="0" applyFont="1" applyFill="1" applyBorder="1" applyAlignment="1">
      <alignment horizontal="center" vertical="center"/>
    </xf>
    <xf numFmtId="4" fontId="1" fillId="0" borderId="0" xfId="0" applyNumberFormat="1" applyFont="1" applyFill="1"/>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4" fontId="3" fillId="0" borderId="0" xfId="0" applyNumberFormat="1" applyFont="1" applyFill="1"/>
    <xf numFmtId="4" fontId="2" fillId="0" borderId="0" xfId="0" applyNumberFormat="1" applyFont="1" applyFill="1"/>
    <xf numFmtId="0" fontId="7" fillId="2" borderId="1" xfId="0" applyFont="1" applyFill="1" applyBorder="1" applyAlignment="1">
      <alignment horizontal="justify" vertical="top" wrapText="1"/>
    </xf>
    <xf numFmtId="0" fontId="2" fillId="2" borderId="1" xfId="0" applyNumberFormat="1" applyFont="1" applyFill="1" applyBorder="1" applyAlignment="1">
      <alignment horizontal="justify" vertical="top"/>
    </xf>
    <xf numFmtId="49" fontId="7" fillId="0" borderId="1" xfId="0" applyNumberFormat="1" applyFont="1" applyBorder="1" applyAlignment="1">
      <alignment horizontal="justify" vertical="top" wrapText="1"/>
    </xf>
    <xf numFmtId="0" fontId="2" fillId="0" borderId="0" xfId="0" applyFont="1" applyFill="1" applyAlignment="1">
      <alignment horizontal="right"/>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38"/>
  <sheetViews>
    <sheetView tabSelected="1" zoomScale="90" zoomScaleNormal="90" workbookViewId="0">
      <selection activeCell="D421" sqref="D421"/>
    </sheetView>
  </sheetViews>
  <sheetFormatPr defaultRowHeight="18.75" x14ac:dyDescent="0.3"/>
  <cols>
    <col min="1" max="1" width="70.140625" style="1" customWidth="1"/>
    <col min="2" max="2" width="18.7109375" style="1" customWidth="1"/>
    <col min="3" max="3" width="8.85546875" style="2" customWidth="1"/>
    <col min="4" max="4" width="22.140625" style="1" customWidth="1"/>
    <col min="5" max="5" width="18.85546875" style="1" bestFit="1" customWidth="1"/>
    <col min="6" max="16384" width="9.140625" style="1"/>
  </cols>
  <sheetData>
    <row r="1" spans="1:4" x14ac:dyDescent="0.3">
      <c r="B1" s="39" t="s">
        <v>736</v>
      </c>
      <c r="C1" s="39"/>
      <c r="D1" s="39"/>
    </row>
    <row r="2" spans="1:4" x14ac:dyDescent="0.3">
      <c r="B2" s="39" t="s">
        <v>554</v>
      </c>
      <c r="C2" s="39"/>
      <c r="D2" s="39"/>
    </row>
    <row r="3" spans="1:4" x14ac:dyDescent="0.3">
      <c r="B3" s="39" t="s">
        <v>555</v>
      </c>
      <c r="C3" s="39"/>
      <c r="D3" s="39"/>
    </row>
    <row r="4" spans="1:4" x14ac:dyDescent="0.3">
      <c r="B4" s="39" t="s">
        <v>556</v>
      </c>
      <c r="C4" s="39"/>
      <c r="D4" s="39"/>
    </row>
    <row r="5" spans="1:4" x14ac:dyDescent="0.3">
      <c r="B5" s="39" t="s">
        <v>555</v>
      </c>
      <c r="C5" s="39"/>
      <c r="D5" s="39"/>
    </row>
    <row r="6" spans="1:4" x14ac:dyDescent="0.3">
      <c r="B6" s="39" t="s">
        <v>557</v>
      </c>
      <c r="C6" s="39"/>
      <c r="D6" s="39"/>
    </row>
    <row r="7" spans="1:4" x14ac:dyDescent="0.3">
      <c r="B7" s="39" t="s">
        <v>558</v>
      </c>
      <c r="C7" s="39"/>
      <c r="D7" s="39"/>
    </row>
    <row r="8" spans="1:4" x14ac:dyDescent="0.3">
      <c r="B8" s="39" t="s">
        <v>589</v>
      </c>
      <c r="C8" s="39"/>
      <c r="D8" s="39"/>
    </row>
    <row r="10" spans="1:4" ht="114.75" customHeight="1" x14ac:dyDescent="0.3">
      <c r="A10" s="40" t="s">
        <v>553</v>
      </c>
      <c r="B10" s="40"/>
      <c r="C10" s="40"/>
      <c r="D10" s="40"/>
    </row>
    <row r="11" spans="1:4" ht="24" customHeight="1" x14ac:dyDescent="0.3">
      <c r="A11" s="43" t="s">
        <v>770</v>
      </c>
      <c r="B11" s="43"/>
      <c r="C11" s="43"/>
      <c r="D11" s="43"/>
    </row>
    <row r="12" spans="1:4" ht="18.75" customHeight="1" x14ac:dyDescent="0.3">
      <c r="A12" s="44" t="s">
        <v>129</v>
      </c>
      <c r="B12" s="44" t="s">
        <v>130</v>
      </c>
      <c r="C12" s="44" t="s">
        <v>131</v>
      </c>
      <c r="D12" s="41" t="s">
        <v>413</v>
      </c>
    </row>
    <row r="13" spans="1:4" ht="75" customHeight="1" x14ac:dyDescent="0.3">
      <c r="A13" s="45"/>
      <c r="B13" s="45"/>
      <c r="C13" s="45"/>
      <c r="D13" s="42"/>
    </row>
    <row r="14" spans="1:4" x14ac:dyDescent="0.3">
      <c r="A14" s="15">
        <v>1</v>
      </c>
      <c r="B14" s="15">
        <v>2</v>
      </c>
      <c r="C14" s="15">
        <v>3</v>
      </c>
      <c r="D14" s="30">
        <v>4</v>
      </c>
    </row>
    <row r="15" spans="1:4" s="4" customFormat="1" ht="69" customHeight="1" x14ac:dyDescent="0.3">
      <c r="A15" s="16" t="s">
        <v>171</v>
      </c>
      <c r="B15" s="17" t="s">
        <v>0</v>
      </c>
      <c r="C15" s="17"/>
      <c r="D15" s="13">
        <f>D16+D42++D91+D111+D118+D125+D129+D134+D135</f>
        <v>432030623.65000004</v>
      </c>
    </row>
    <row r="16" spans="1:4" s="4" customFormat="1" ht="93.75" x14ac:dyDescent="0.3">
      <c r="A16" s="16" t="s">
        <v>172</v>
      </c>
      <c r="B16" s="17" t="s">
        <v>1</v>
      </c>
      <c r="C16" s="17"/>
      <c r="D16" s="13">
        <f>D17+D23+D38</f>
        <v>100062158.39</v>
      </c>
    </row>
    <row r="17" spans="1:4" s="3" customFormat="1" ht="54" customHeight="1" x14ac:dyDescent="0.3">
      <c r="A17" s="18" t="s">
        <v>173</v>
      </c>
      <c r="B17" s="19" t="s">
        <v>2</v>
      </c>
      <c r="C17" s="19"/>
      <c r="D17" s="14">
        <f>SUM(D18:D22)</f>
        <v>75100200.280000001</v>
      </c>
    </row>
    <row r="18" spans="1:4" ht="162.75" customHeight="1" x14ac:dyDescent="0.3">
      <c r="A18" s="20" t="s">
        <v>174</v>
      </c>
      <c r="B18" s="12" t="s">
        <v>3</v>
      </c>
      <c r="C18" s="12">
        <v>100</v>
      </c>
      <c r="D18" s="5">
        <f>999311.04+64449+21326.76+63296.45</f>
        <v>1148383.25</v>
      </c>
    </row>
    <row r="19" spans="1:4" ht="127.5" customHeight="1" x14ac:dyDescent="0.3">
      <c r="A19" s="11" t="s">
        <v>175</v>
      </c>
      <c r="B19" s="12" t="s">
        <v>3</v>
      </c>
      <c r="C19" s="12">
        <v>200</v>
      </c>
      <c r="D19" s="5">
        <f>366700+20000+40000</f>
        <v>426700</v>
      </c>
    </row>
    <row r="20" spans="1:4" ht="120.75" customHeight="1" x14ac:dyDescent="0.3">
      <c r="A20" s="20" t="s">
        <v>176</v>
      </c>
      <c r="B20" s="12" t="s">
        <v>3</v>
      </c>
      <c r="C20" s="12">
        <v>600</v>
      </c>
      <c r="D20" s="5">
        <f>28700125.01+775321.47+950428.24+256560.92-30000+658600+761453.39-43798-220000-600000+400000</f>
        <v>31608691.030000001</v>
      </c>
    </row>
    <row r="21" spans="1:4" ht="102" customHeight="1" x14ac:dyDescent="0.3">
      <c r="A21" s="20" t="s">
        <v>398</v>
      </c>
      <c r="B21" s="12" t="s">
        <v>4</v>
      </c>
      <c r="C21" s="12">
        <v>600</v>
      </c>
      <c r="D21" s="5">
        <v>30000</v>
      </c>
    </row>
    <row r="22" spans="1:4" ht="189.75" customHeight="1" x14ac:dyDescent="0.3">
      <c r="A22" s="20" t="s">
        <v>423</v>
      </c>
      <c r="B22" s="12" t="s">
        <v>382</v>
      </c>
      <c r="C22" s="12">
        <v>600</v>
      </c>
      <c r="D22" s="5">
        <f>41240052+168284+671328-193238</f>
        <v>41886426</v>
      </c>
    </row>
    <row r="23" spans="1:4" s="3" customFormat="1" ht="49.5" customHeight="1" x14ac:dyDescent="0.3">
      <c r="A23" s="18" t="s">
        <v>5</v>
      </c>
      <c r="B23" s="19" t="s">
        <v>160</v>
      </c>
      <c r="C23" s="19"/>
      <c r="D23" s="14">
        <f>SUM(D24:D37)</f>
        <v>23098272.380000003</v>
      </c>
    </row>
    <row r="24" spans="1:4" ht="93" customHeight="1" x14ac:dyDescent="0.3">
      <c r="A24" s="20" t="s">
        <v>141</v>
      </c>
      <c r="B24" s="12" t="s">
        <v>6</v>
      </c>
      <c r="C24" s="12">
        <v>600</v>
      </c>
      <c r="D24" s="5">
        <f>490200+370607.75</f>
        <v>860807.75</v>
      </c>
    </row>
    <row r="25" spans="1:4" ht="93" customHeight="1" x14ac:dyDescent="0.3">
      <c r="A25" s="20" t="s">
        <v>480</v>
      </c>
      <c r="B25" s="12" t="s">
        <v>474</v>
      </c>
      <c r="C25" s="12">
        <v>600</v>
      </c>
      <c r="D25" s="5">
        <f>810000+394000-658600</f>
        <v>545400</v>
      </c>
    </row>
    <row r="26" spans="1:4" ht="97.5" customHeight="1" x14ac:dyDescent="0.3">
      <c r="A26" s="20" t="s">
        <v>672</v>
      </c>
      <c r="B26" s="12" t="s">
        <v>671</v>
      </c>
      <c r="C26" s="12">
        <v>600</v>
      </c>
      <c r="D26" s="5">
        <v>304575</v>
      </c>
    </row>
    <row r="27" spans="1:4" ht="120.75" customHeight="1" x14ac:dyDescent="0.3">
      <c r="A27" s="20" t="s">
        <v>738</v>
      </c>
      <c r="B27" s="12" t="s">
        <v>737</v>
      </c>
      <c r="C27" s="12">
        <v>600</v>
      </c>
      <c r="D27" s="5">
        <f>3157.72-3157.72</f>
        <v>0</v>
      </c>
    </row>
    <row r="28" spans="1:4" ht="96.75" customHeight="1" x14ac:dyDescent="0.3">
      <c r="A28" s="20" t="s">
        <v>755</v>
      </c>
      <c r="B28" s="12" t="s">
        <v>748</v>
      </c>
      <c r="C28" s="12">
        <v>600</v>
      </c>
      <c r="D28" s="5">
        <f t="shared" ref="D28:D34" si="0">6000-6000</f>
        <v>0</v>
      </c>
    </row>
    <row r="29" spans="1:4" ht="113.25" customHeight="1" x14ac:dyDescent="0.3">
      <c r="A29" s="20" t="s">
        <v>756</v>
      </c>
      <c r="B29" s="12" t="s">
        <v>749</v>
      </c>
      <c r="C29" s="12">
        <v>600</v>
      </c>
      <c r="D29" s="5">
        <f t="shared" si="0"/>
        <v>0</v>
      </c>
    </row>
    <row r="30" spans="1:4" ht="103.5" customHeight="1" x14ac:dyDescent="0.3">
      <c r="A30" s="20" t="s">
        <v>757</v>
      </c>
      <c r="B30" s="12" t="s">
        <v>750</v>
      </c>
      <c r="C30" s="12">
        <v>600</v>
      </c>
      <c r="D30" s="5">
        <f t="shared" si="0"/>
        <v>0</v>
      </c>
    </row>
    <row r="31" spans="1:4" ht="117" customHeight="1" x14ac:dyDescent="0.3">
      <c r="A31" s="20" t="s">
        <v>758</v>
      </c>
      <c r="B31" s="12" t="s">
        <v>751</v>
      </c>
      <c r="C31" s="12">
        <v>600</v>
      </c>
      <c r="D31" s="5">
        <f t="shared" si="0"/>
        <v>0</v>
      </c>
    </row>
    <row r="32" spans="1:4" ht="103.5" customHeight="1" x14ac:dyDescent="0.3">
      <c r="A32" s="20" t="s">
        <v>759</v>
      </c>
      <c r="B32" s="12" t="s">
        <v>752</v>
      </c>
      <c r="C32" s="12">
        <v>600</v>
      </c>
      <c r="D32" s="5">
        <f t="shared" si="0"/>
        <v>0</v>
      </c>
    </row>
    <row r="33" spans="1:4" ht="99" customHeight="1" x14ac:dyDescent="0.3">
      <c r="A33" s="20" t="s">
        <v>760</v>
      </c>
      <c r="B33" s="12" t="s">
        <v>753</v>
      </c>
      <c r="C33" s="12">
        <v>600</v>
      </c>
      <c r="D33" s="5">
        <f t="shared" si="0"/>
        <v>0</v>
      </c>
    </row>
    <row r="34" spans="1:4" ht="99" customHeight="1" x14ac:dyDescent="0.3">
      <c r="A34" s="20" t="s">
        <v>761</v>
      </c>
      <c r="B34" s="12" t="s">
        <v>754</v>
      </c>
      <c r="C34" s="12">
        <v>600</v>
      </c>
      <c r="D34" s="5">
        <f t="shared" si="0"/>
        <v>0</v>
      </c>
    </row>
    <row r="35" spans="1:4" ht="93" customHeight="1" x14ac:dyDescent="0.3">
      <c r="A35" s="20" t="s">
        <v>578</v>
      </c>
      <c r="B35" s="12" t="s">
        <v>577</v>
      </c>
      <c r="C35" s="12">
        <v>600</v>
      </c>
      <c r="D35" s="5">
        <v>12517797.220000001</v>
      </c>
    </row>
    <row r="36" spans="1:4" ht="93" customHeight="1" x14ac:dyDescent="0.3">
      <c r="A36" s="20" t="s">
        <v>576</v>
      </c>
      <c r="B36" s="12" t="s">
        <v>575</v>
      </c>
      <c r="C36" s="12">
        <v>600</v>
      </c>
      <c r="D36" s="5">
        <f>400000+4040.4+0.01</f>
        <v>404040.41000000003</v>
      </c>
    </row>
    <row r="37" spans="1:4" ht="144" customHeight="1" x14ac:dyDescent="0.3">
      <c r="A37" s="20" t="s">
        <v>719</v>
      </c>
      <c r="B37" s="12" t="s">
        <v>691</v>
      </c>
      <c r="C37" s="12">
        <v>600</v>
      </c>
      <c r="D37" s="5">
        <f>3949880+4470614.28+45157.72</f>
        <v>8465652.0000000019</v>
      </c>
    </row>
    <row r="38" spans="1:4" s="3" customFormat="1" ht="68.25" customHeight="1" x14ac:dyDescent="0.3">
      <c r="A38" s="18" t="s">
        <v>177</v>
      </c>
      <c r="B38" s="19" t="s">
        <v>7</v>
      </c>
      <c r="C38" s="19"/>
      <c r="D38" s="14">
        <f>SUM(D39:D41)</f>
        <v>1863685.73</v>
      </c>
    </row>
    <row r="39" spans="1:4" s="3" customFormat="1" ht="159" customHeight="1" x14ac:dyDescent="0.3">
      <c r="A39" s="20" t="s">
        <v>740</v>
      </c>
      <c r="B39" s="12" t="s">
        <v>739</v>
      </c>
      <c r="C39" s="12">
        <v>200</v>
      </c>
      <c r="D39" s="5">
        <v>40457</v>
      </c>
    </row>
    <row r="40" spans="1:4" ht="206.25" x14ac:dyDescent="0.3">
      <c r="A40" s="20" t="s">
        <v>161</v>
      </c>
      <c r="B40" s="12" t="s">
        <v>8</v>
      </c>
      <c r="C40" s="12">
        <v>600</v>
      </c>
      <c r="D40" s="5">
        <f>515561+113092</f>
        <v>628653</v>
      </c>
    </row>
    <row r="41" spans="1:4" ht="153" customHeight="1" x14ac:dyDescent="0.3">
      <c r="A41" s="20" t="s">
        <v>178</v>
      </c>
      <c r="B41" s="12" t="s">
        <v>9</v>
      </c>
      <c r="C41" s="12">
        <v>300</v>
      </c>
      <c r="D41" s="5">
        <v>1194575.73</v>
      </c>
    </row>
    <row r="42" spans="1:4" s="4" customFormat="1" ht="105.75" customHeight="1" x14ac:dyDescent="0.3">
      <c r="A42" s="16" t="s">
        <v>179</v>
      </c>
      <c r="B42" s="17" t="s">
        <v>10</v>
      </c>
      <c r="C42" s="17"/>
      <c r="D42" s="13">
        <f>D43+D54+D89</f>
        <v>244325847.53</v>
      </c>
    </row>
    <row r="43" spans="1:4" s="3" customFormat="1" ht="48" customHeight="1" x14ac:dyDescent="0.3">
      <c r="A43" s="18" t="s">
        <v>180</v>
      </c>
      <c r="B43" s="19" t="s">
        <v>11</v>
      </c>
      <c r="C43" s="19"/>
      <c r="D43" s="14">
        <f>SUM(D44:D53)</f>
        <v>128837856.84999999</v>
      </c>
    </row>
    <row r="44" spans="1:4" ht="168.75" x14ac:dyDescent="0.3">
      <c r="A44" s="20" t="s">
        <v>181</v>
      </c>
      <c r="B44" s="12" t="s">
        <v>12</v>
      </c>
      <c r="C44" s="12">
        <v>100</v>
      </c>
      <c r="D44" s="5">
        <f>6080449.61+378960.12+125401.35-1150192+316482.25-24094.91</f>
        <v>5727006.4199999999</v>
      </c>
    </row>
    <row r="45" spans="1:4" ht="145.5" customHeight="1" x14ac:dyDescent="0.3">
      <c r="A45" s="20" t="s">
        <v>182</v>
      </c>
      <c r="B45" s="12" t="s">
        <v>12</v>
      </c>
      <c r="C45" s="12">
        <v>200</v>
      </c>
      <c r="D45" s="5">
        <f>11612932.9+214974.2+937253.62+46567.19+138100+191542-11400-1073737.22+198232.6-400000+39500+67957.75</f>
        <v>11961923.039999997</v>
      </c>
    </row>
    <row r="46" spans="1:4" ht="131.25" x14ac:dyDescent="0.3">
      <c r="A46" s="20" t="s">
        <v>142</v>
      </c>
      <c r="B46" s="12" t="s">
        <v>12</v>
      </c>
      <c r="C46" s="12">
        <v>600</v>
      </c>
      <c r="D46" s="5">
        <f>12847690.52+224282.52+542954.45+74217.12+933174.64-274037+263313.23+600000+1101942.06+455830+600000</f>
        <v>17369367.539999999</v>
      </c>
    </row>
    <row r="47" spans="1:4" ht="123" customHeight="1" x14ac:dyDescent="0.3">
      <c r="A47" s="20" t="s">
        <v>183</v>
      </c>
      <c r="B47" s="12" t="s">
        <v>12</v>
      </c>
      <c r="C47" s="12">
        <v>800</v>
      </c>
      <c r="D47" s="5">
        <f>311348.4-4109.93-107457.75</f>
        <v>199780.72000000003</v>
      </c>
    </row>
    <row r="48" spans="1:4" ht="99" customHeight="1" x14ac:dyDescent="0.3">
      <c r="A48" s="20" t="s">
        <v>620</v>
      </c>
      <c r="B48" s="12" t="s">
        <v>619</v>
      </c>
      <c r="C48" s="12">
        <v>200</v>
      </c>
      <c r="D48" s="5">
        <f>50000+35000+16000</f>
        <v>101000</v>
      </c>
    </row>
    <row r="49" spans="1:5" ht="271.5" customHeight="1" x14ac:dyDescent="0.3">
      <c r="A49" s="20" t="s">
        <v>764</v>
      </c>
      <c r="B49" s="32" t="s">
        <v>443</v>
      </c>
      <c r="C49" s="12">
        <v>100</v>
      </c>
      <c r="D49" s="5">
        <f>4452840+312480-438017.17</f>
        <v>4327302.83</v>
      </c>
      <c r="E49" s="35"/>
    </row>
    <row r="50" spans="1:5" ht="231.75" customHeight="1" x14ac:dyDescent="0.3">
      <c r="A50" s="20" t="s">
        <v>765</v>
      </c>
      <c r="B50" s="32" t="s">
        <v>443</v>
      </c>
      <c r="C50" s="12">
        <v>600</v>
      </c>
      <c r="D50" s="5">
        <f>3984120-78120+438017.17</f>
        <v>4344017.17</v>
      </c>
    </row>
    <row r="51" spans="1:5" ht="278.25" customHeight="1" x14ac:dyDescent="0.3">
      <c r="A51" s="20" t="s">
        <v>561</v>
      </c>
      <c r="B51" s="32" t="s">
        <v>564</v>
      </c>
      <c r="C51" s="12">
        <v>100</v>
      </c>
      <c r="D51" s="5">
        <f>41030406.5+142488.52+712284.4-3564943.56+498795.78-12891.99</f>
        <v>38806139.649999999</v>
      </c>
      <c r="E51" s="35"/>
    </row>
    <row r="52" spans="1:5" ht="243" customHeight="1" x14ac:dyDescent="0.3">
      <c r="A52" s="20" t="s">
        <v>562</v>
      </c>
      <c r="B52" s="32" t="s">
        <v>564</v>
      </c>
      <c r="C52" s="12">
        <v>200</v>
      </c>
      <c r="D52" s="5">
        <f>829642+304-258886+250772.71-230940.71</f>
        <v>590892</v>
      </c>
    </row>
    <row r="53" spans="1:5" ht="245.25" customHeight="1" x14ac:dyDescent="0.3">
      <c r="A53" s="20" t="s">
        <v>563</v>
      </c>
      <c r="B53" s="32" t="s">
        <v>564</v>
      </c>
      <c r="C53" s="12">
        <v>600</v>
      </c>
      <c r="D53" s="5">
        <f>42140608.25+130798.98+64759.18+3823829.56-749568.49</f>
        <v>45410427.479999997</v>
      </c>
    </row>
    <row r="54" spans="1:5" s="3" customFormat="1" ht="53.25" customHeight="1" x14ac:dyDescent="0.3">
      <c r="A54" s="18" t="s">
        <v>338</v>
      </c>
      <c r="B54" s="19" t="s">
        <v>13</v>
      </c>
      <c r="C54" s="19"/>
      <c r="D54" s="14">
        <f>SUM(D55:D88)</f>
        <v>113078828.14999999</v>
      </c>
    </row>
    <row r="55" spans="1:5" ht="75" x14ac:dyDescent="0.3">
      <c r="A55" s="20" t="s">
        <v>143</v>
      </c>
      <c r="B55" s="12" t="s">
        <v>14</v>
      </c>
      <c r="C55" s="12">
        <v>600</v>
      </c>
      <c r="D55" s="5">
        <f>4196064.56+257796+85307.04+253185.8</f>
        <v>4792353.3999999994</v>
      </c>
    </row>
    <row r="56" spans="1:5" ht="93.75" customHeight="1" x14ac:dyDescent="0.3">
      <c r="A56" s="20" t="s">
        <v>149</v>
      </c>
      <c r="B56" s="12" t="s">
        <v>15</v>
      </c>
      <c r="C56" s="12">
        <v>200</v>
      </c>
      <c r="D56" s="5">
        <f>553200-210693.08-41698.34</f>
        <v>300808.58000000007</v>
      </c>
    </row>
    <row r="57" spans="1:5" ht="102.75" customHeight="1" x14ac:dyDescent="0.3">
      <c r="A57" s="20" t="s">
        <v>144</v>
      </c>
      <c r="B57" s="12" t="s">
        <v>15</v>
      </c>
      <c r="C57" s="12">
        <v>600</v>
      </c>
      <c r="D57" s="5">
        <f>305000-159914.67+41698.34</f>
        <v>186783.66999999998</v>
      </c>
    </row>
    <row r="58" spans="1:5" ht="102.75" customHeight="1" x14ac:dyDescent="0.3">
      <c r="A58" s="20" t="s">
        <v>481</v>
      </c>
      <c r="B58" s="12" t="s">
        <v>416</v>
      </c>
      <c r="C58" s="12">
        <v>200</v>
      </c>
      <c r="D58" s="5">
        <f>260000+33.19-54950-25292.87</f>
        <v>179790.32</v>
      </c>
    </row>
    <row r="59" spans="1:5" ht="105" customHeight="1" x14ac:dyDescent="0.3">
      <c r="A59" s="11" t="s">
        <v>427</v>
      </c>
      <c r="B59" s="12" t="s">
        <v>416</v>
      </c>
      <c r="C59" s="12">
        <v>600</v>
      </c>
      <c r="D59" s="5">
        <f>553122.17+54950-287982.17</f>
        <v>320090.00000000006</v>
      </c>
    </row>
    <row r="60" spans="1:5" ht="105" customHeight="1" x14ac:dyDescent="0.3">
      <c r="A60" s="11" t="s">
        <v>482</v>
      </c>
      <c r="B60" s="12" t="s">
        <v>475</v>
      </c>
      <c r="C60" s="12">
        <v>200</v>
      </c>
      <c r="D60" s="5">
        <f>120000+98500-25450</f>
        <v>193050</v>
      </c>
    </row>
    <row r="61" spans="1:5" ht="105" customHeight="1" x14ac:dyDescent="0.3">
      <c r="A61" s="11" t="s">
        <v>483</v>
      </c>
      <c r="B61" s="12" t="s">
        <v>475</v>
      </c>
      <c r="C61" s="12">
        <v>600</v>
      </c>
      <c r="D61" s="5">
        <f>710000+295500+25450</f>
        <v>1030950</v>
      </c>
    </row>
    <row r="62" spans="1:5" ht="127.5" customHeight="1" x14ac:dyDescent="0.3">
      <c r="A62" s="11" t="s">
        <v>484</v>
      </c>
      <c r="B62" s="12" t="s">
        <v>476</v>
      </c>
      <c r="C62" s="12">
        <v>200</v>
      </c>
      <c r="D62" s="5">
        <f>94171+244.64-36738.96+15569.98</f>
        <v>73246.66</v>
      </c>
    </row>
    <row r="63" spans="1:5" ht="135.75" customHeight="1" x14ac:dyDescent="0.3">
      <c r="A63" s="11" t="s">
        <v>485</v>
      </c>
      <c r="B63" s="12" t="s">
        <v>476</v>
      </c>
      <c r="C63" s="12">
        <v>600</v>
      </c>
      <c r="D63" s="5">
        <f>376684+36738.96+79472.46</f>
        <v>492895.42000000004</v>
      </c>
    </row>
    <row r="64" spans="1:5" ht="119.25" customHeight="1" x14ac:dyDescent="0.3">
      <c r="A64" s="11" t="s">
        <v>704</v>
      </c>
      <c r="B64" s="12" t="s">
        <v>590</v>
      </c>
      <c r="C64" s="12">
        <v>600</v>
      </c>
      <c r="D64" s="5">
        <v>114460</v>
      </c>
    </row>
    <row r="65" spans="1:5" ht="120.75" customHeight="1" x14ac:dyDescent="0.3">
      <c r="A65" s="11" t="s">
        <v>705</v>
      </c>
      <c r="B65" s="12" t="s">
        <v>591</v>
      </c>
      <c r="C65" s="12">
        <v>600</v>
      </c>
      <c r="D65" s="5">
        <v>46738</v>
      </c>
    </row>
    <row r="66" spans="1:5" ht="111" customHeight="1" x14ac:dyDescent="0.3">
      <c r="A66" s="11" t="s">
        <v>595</v>
      </c>
      <c r="B66" s="12" t="s">
        <v>592</v>
      </c>
      <c r="C66" s="12">
        <v>600</v>
      </c>
      <c r="D66" s="5">
        <v>600000</v>
      </c>
    </row>
    <row r="67" spans="1:5" ht="142.5" customHeight="1" x14ac:dyDescent="0.3">
      <c r="A67" s="11" t="s">
        <v>596</v>
      </c>
      <c r="B67" s="12" t="s">
        <v>593</v>
      </c>
      <c r="C67" s="12">
        <v>600</v>
      </c>
      <c r="D67" s="5">
        <v>136872</v>
      </c>
    </row>
    <row r="68" spans="1:5" ht="120.75" customHeight="1" x14ac:dyDescent="0.3">
      <c r="A68" s="11" t="s">
        <v>597</v>
      </c>
      <c r="B68" s="12" t="s">
        <v>594</v>
      </c>
      <c r="C68" s="12">
        <v>600</v>
      </c>
      <c r="D68" s="5">
        <v>117776</v>
      </c>
    </row>
    <row r="69" spans="1:5" ht="73.5" customHeight="1" x14ac:dyDescent="0.3">
      <c r="A69" s="11" t="s">
        <v>622</v>
      </c>
      <c r="B69" s="12" t="s">
        <v>621</v>
      </c>
      <c r="C69" s="12">
        <v>600</v>
      </c>
      <c r="D69" s="5">
        <v>300000</v>
      </c>
    </row>
    <row r="70" spans="1:5" ht="96" customHeight="1" x14ac:dyDescent="0.3">
      <c r="A70" s="11" t="s">
        <v>642</v>
      </c>
      <c r="B70" s="12" t="s">
        <v>637</v>
      </c>
      <c r="C70" s="12">
        <v>200</v>
      </c>
      <c r="D70" s="5">
        <v>467240</v>
      </c>
    </row>
    <row r="71" spans="1:5" ht="150.75" customHeight="1" x14ac:dyDescent="0.3">
      <c r="A71" s="11" t="s">
        <v>706</v>
      </c>
      <c r="B71" s="12" t="s">
        <v>648</v>
      </c>
      <c r="C71" s="12">
        <v>600</v>
      </c>
      <c r="D71" s="5">
        <v>100000</v>
      </c>
    </row>
    <row r="72" spans="1:5" ht="144" customHeight="1" x14ac:dyDescent="0.3">
      <c r="A72" s="11" t="s">
        <v>649</v>
      </c>
      <c r="B72" s="12" t="s">
        <v>650</v>
      </c>
      <c r="C72" s="12">
        <v>600</v>
      </c>
      <c r="D72" s="5">
        <f>730000-600000-100000</f>
        <v>30000</v>
      </c>
    </row>
    <row r="73" spans="1:5" ht="86.25" customHeight="1" x14ac:dyDescent="0.3">
      <c r="A73" s="11" t="s">
        <v>666</v>
      </c>
      <c r="B73" s="12" t="s">
        <v>665</v>
      </c>
      <c r="C73" s="12">
        <v>200</v>
      </c>
      <c r="D73" s="5">
        <f>98000+11400</f>
        <v>109400</v>
      </c>
    </row>
    <row r="74" spans="1:5" ht="101.25" customHeight="1" x14ac:dyDescent="0.3">
      <c r="A74" s="11" t="s">
        <v>702</v>
      </c>
      <c r="B74" s="12" t="s">
        <v>692</v>
      </c>
      <c r="C74" s="12">
        <v>600</v>
      </c>
      <c r="D74" s="5">
        <v>26620</v>
      </c>
    </row>
    <row r="75" spans="1:5" ht="101.25" customHeight="1" x14ac:dyDescent="0.3">
      <c r="A75" s="11" t="s">
        <v>703</v>
      </c>
      <c r="B75" s="12" t="s">
        <v>693</v>
      </c>
      <c r="C75" s="12">
        <v>600</v>
      </c>
      <c r="D75" s="5">
        <v>25000</v>
      </c>
    </row>
    <row r="76" spans="1:5" ht="408.75" customHeight="1" x14ac:dyDescent="0.3">
      <c r="A76" s="11" t="s">
        <v>742</v>
      </c>
      <c r="B76" s="12" t="s">
        <v>743</v>
      </c>
      <c r="C76" s="12">
        <v>200</v>
      </c>
      <c r="D76" s="5">
        <v>0</v>
      </c>
    </row>
    <row r="77" spans="1:5" ht="408.75" customHeight="1" x14ac:dyDescent="0.3">
      <c r="A77" s="11" t="s">
        <v>766</v>
      </c>
      <c r="B77" s="12" t="s">
        <v>743</v>
      </c>
      <c r="C77" s="12">
        <v>200</v>
      </c>
      <c r="D77" s="5">
        <v>172340.64</v>
      </c>
    </row>
    <row r="78" spans="1:5" ht="408.75" customHeight="1" x14ac:dyDescent="0.3">
      <c r="A78" s="11" t="s">
        <v>741</v>
      </c>
      <c r="B78" s="12" t="s">
        <v>743</v>
      </c>
      <c r="C78" s="12">
        <v>600</v>
      </c>
      <c r="D78" s="5">
        <v>0</v>
      </c>
    </row>
    <row r="79" spans="1:5" ht="408.75" customHeight="1" x14ac:dyDescent="0.3">
      <c r="A79" s="11" t="s">
        <v>767</v>
      </c>
      <c r="B79" s="12" t="s">
        <v>743</v>
      </c>
      <c r="C79" s="12">
        <v>600</v>
      </c>
      <c r="D79" s="5">
        <v>175931.07</v>
      </c>
    </row>
    <row r="80" spans="1:5" ht="167.25" customHeight="1" x14ac:dyDescent="0.3">
      <c r="A80" s="11" t="s">
        <v>623</v>
      </c>
      <c r="B80" s="12" t="s">
        <v>458</v>
      </c>
      <c r="C80" s="12">
        <v>200</v>
      </c>
      <c r="D80" s="5">
        <f>3123674.1+2208.66-151176-106.89-1148666.35</f>
        <v>1825933.52</v>
      </c>
      <c r="E80" s="35"/>
    </row>
    <row r="81" spans="1:4" ht="171" customHeight="1" x14ac:dyDescent="0.3">
      <c r="A81" s="11" t="s">
        <v>624</v>
      </c>
      <c r="B81" s="12" t="s">
        <v>458</v>
      </c>
      <c r="C81" s="12">
        <v>600</v>
      </c>
      <c r="D81" s="5">
        <f>4911330.3+3472.66-282510.15-199.76+1148666.35</f>
        <v>5780759.4000000004</v>
      </c>
    </row>
    <row r="82" spans="1:4" ht="78" customHeight="1" x14ac:dyDescent="0.3">
      <c r="A82" s="11" t="s">
        <v>633</v>
      </c>
      <c r="B82" s="12" t="s">
        <v>632</v>
      </c>
      <c r="C82" s="12">
        <v>600</v>
      </c>
      <c r="D82" s="5">
        <f>54495268.82+38532.01+3583071.88+36192.65</f>
        <v>58153065.359999999</v>
      </c>
    </row>
    <row r="83" spans="1:4" ht="100.5" customHeight="1" x14ac:dyDescent="0.3">
      <c r="A83" s="11" t="s">
        <v>768</v>
      </c>
      <c r="B83" s="12" t="s">
        <v>769</v>
      </c>
      <c r="C83" s="12">
        <v>600</v>
      </c>
      <c r="D83" s="5">
        <v>14321732.32</v>
      </c>
    </row>
    <row r="84" spans="1:4" ht="66" customHeight="1" x14ac:dyDescent="0.3">
      <c r="A84" s="11" t="s">
        <v>636</v>
      </c>
      <c r="B84" s="12" t="s">
        <v>634</v>
      </c>
      <c r="C84" s="12">
        <v>200</v>
      </c>
      <c r="D84" s="5">
        <f>5841000+59595.96-595.96+1401176.7+14153.3-5545630</f>
        <v>1769700</v>
      </c>
    </row>
    <row r="85" spans="1:4" ht="84" customHeight="1" x14ac:dyDescent="0.3">
      <c r="A85" s="11" t="s">
        <v>635</v>
      </c>
      <c r="B85" s="12" t="s">
        <v>634</v>
      </c>
      <c r="C85" s="12">
        <v>600</v>
      </c>
      <c r="D85" s="5">
        <f>12598195.5+128539.9-594.12-691.28+1365747.77+13795.43+5545630</f>
        <v>19650623.200000003</v>
      </c>
    </row>
    <row r="86" spans="1:4" ht="119.25" customHeight="1" x14ac:dyDescent="0.3">
      <c r="A86" s="11" t="s">
        <v>657</v>
      </c>
      <c r="B86" s="12" t="s">
        <v>651</v>
      </c>
      <c r="C86" s="12">
        <v>200</v>
      </c>
      <c r="D86" s="5">
        <f>149374.9+1508.84-2722.1</f>
        <v>148161.63999999998</v>
      </c>
    </row>
    <row r="87" spans="1:4" ht="123" customHeight="1" x14ac:dyDescent="0.3">
      <c r="A87" s="11" t="s">
        <v>658</v>
      </c>
      <c r="B87" s="12" t="s">
        <v>651</v>
      </c>
      <c r="C87" s="12">
        <v>600</v>
      </c>
      <c r="D87" s="5">
        <f>132447+1337.85+2722.1</f>
        <v>136506.95000000001</v>
      </c>
    </row>
    <row r="88" spans="1:4" ht="97.5" customHeight="1" x14ac:dyDescent="0.3">
      <c r="A88" s="11" t="s">
        <v>707</v>
      </c>
      <c r="B88" s="12" t="s">
        <v>708</v>
      </c>
      <c r="C88" s="12">
        <v>600</v>
      </c>
      <c r="D88" s="5">
        <f>594000+693000+6000+7000</f>
        <v>1300000</v>
      </c>
    </row>
    <row r="89" spans="1:4" ht="45.75" customHeight="1" x14ac:dyDescent="0.3">
      <c r="A89" s="21" t="s">
        <v>430</v>
      </c>
      <c r="B89" s="19" t="s">
        <v>431</v>
      </c>
      <c r="C89" s="19"/>
      <c r="D89" s="14">
        <f>SUM(D90:D90)</f>
        <v>2409162.5299999998</v>
      </c>
    </row>
    <row r="90" spans="1:4" ht="111.75" customHeight="1" x14ac:dyDescent="0.3">
      <c r="A90" s="11" t="s">
        <v>433</v>
      </c>
      <c r="B90" s="12" t="s">
        <v>432</v>
      </c>
      <c r="C90" s="12">
        <v>200</v>
      </c>
      <c r="D90" s="5">
        <f>2349818.19+237.36+59101.01+5.97</f>
        <v>2409162.5299999998</v>
      </c>
    </row>
    <row r="91" spans="1:4" ht="46.5" customHeight="1" x14ac:dyDescent="0.3">
      <c r="A91" s="16" t="s">
        <v>17</v>
      </c>
      <c r="B91" s="17" t="s">
        <v>16</v>
      </c>
      <c r="C91" s="17"/>
      <c r="D91" s="13">
        <f>D92+D97+D109+D107</f>
        <v>75624548.730000019</v>
      </c>
    </row>
    <row r="92" spans="1:4" ht="54" customHeight="1" x14ac:dyDescent="0.3">
      <c r="A92" s="18" t="s">
        <v>19</v>
      </c>
      <c r="B92" s="19" t="s">
        <v>18</v>
      </c>
      <c r="C92" s="19"/>
      <c r="D92" s="14">
        <f>SUM(D93:D96)</f>
        <v>14689038.350000001</v>
      </c>
    </row>
    <row r="93" spans="1:4" ht="73.5" customHeight="1" x14ac:dyDescent="0.3">
      <c r="A93" s="20" t="s">
        <v>145</v>
      </c>
      <c r="B93" s="12" t="s">
        <v>20</v>
      </c>
      <c r="C93" s="12">
        <v>600</v>
      </c>
      <c r="D93" s="5">
        <f>9684224.05+218249.83+104534.96+72294.89+30000-721597.72+500000+43798+214585.31+220000+313700+14242.56</f>
        <v>10694031.880000003</v>
      </c>
    </row>
    <row r="94" spans="1:4" ht="156" customHeight="1" x14ac:dyDescent="0.3">
      <c r="A94" s="20" t="s">
        <v>486</v>
      </c>
      <c r="B94" s="12" t="s">
        <v>477</v>
      </c>
      <c r="C94" s="12">
        <v>600</v>
      </c>
      <c r="D94" s="5">
        <f>2173077.55-6138.92</f>
        <v>2166938.63</v>
      </c>
    </row>
    <row r="95" spans="1:4" ht="156" customHeight="1" x14ac:dyDescent="0.3">
      <c r="A95" s="20" t="s">
        <v>559</v>
      </c>
      <c r="B95" s="12" t="s">
        <v>560</v>
      </c>
      <c r="C95" s="12">
        <v>600</v>
      </c>
      <c r="D95" s="5">
        <v>1806131.03</v>
      </c>
    </row>
    <row r="96" spans="1:4" ht="149.25" customHeight="1" x14ac:dyDescent="0.3">
      <c r="A96" s="20" t="s">
        <v>487</v>
      </c>
      <c r="B96" s="12" t="s">
        <v>478</v>
      </c>
      <c r="C96" s="12">
        <v>600</v>
      </c>
      <c r="D96" s="5">
        <v>21936.81</v>
      </c>
    </row>
    <row r="97" spans="1:4" ht="42" customHeight="1" x14ac:dyDescent="0.3">
      <c r="A97" s="18" t="s">
        <v>358</v>
      </c>
      <c r="B97" s="19" t="s">
        <v>359</v>
      </c>
      <c r="C97" s="19"/>
      <c r="D97" s="14">
        <f>SUM(D98:D106)</f>
        <v>59721380.540000007</v>
      </c>
    </row>
    <row r="98" spans="1:4" ht="93.75" x14ac:dyDescent="0.3">
      <c r="A98" s="20" t="s">
        <v>362</v>
      </c>
      <c r="B98" s="12" t="s">
        <v>360</v>
      </c>
      <c r="C98" s="12">
        <v>600</v>
      </c>
      <c r="D98" s="5">
        <v>151600</v>
      </c>
    </row>
    <row r="99" spans="1:4" ht="119.25" customHeight="1" x14ac:dyDescent="0.3">
      <c r="A99" s="20" t="s">
        <v>599</v>
      </c>
      <c r="B99" s="12" t="s">
        <v>598</v>
      </c>
      <c r="C99" s="12">
        <v>600</v>
      </c>
      <c r="D99" s="5">
        <v>200000</v>
      </c>
    </row>
    <row r="100" spans="1:4" ht="126" customHeight="1" x14ac:dyDescent="0.3">
      <c r="A100" s="20" t="s">
        <v>626</v>
      </c>
      <c r="B100" s="12" t="s">
        <v>625</v>
      </c>
      <c r="C100" s="12">
        <v>600</v>
      </c>
      <c r="D100" s="5">
        <v>172490</v>
      </c>
    </row>
    <row r="101" spans="1:4" ht="126" customHeight="1" x14ac:dyDescent="0.3">
      <c r="A101" s="20" t="s">
        <v>647</v>
      </c>
      <c r="B101" s="12" t="s">
        <v>646</v>
      </c>
      <c r="C101" s="12">
        <v>600</v>
      </c>
      <c r="D101" s="5">
        <f>729740-669530</f>
        <v>60210</v>
      </c>
    </row>
    <row r="102" spans="1:4" ht="143.25" customHeight="1" x14ac:dyDescent="0.3">
      <c r="A102" s="38" t="s">
        <v>721</v>
      </c>
      <c r="B102" s="12" t="s">
        <v>720</v>
      </c>
      <c r="C102" s="12">
        <v>600</v>
      </c>
      <c r="D102" s="5">
        <v>30000</v>
      </c>
    </row>
    <row r="103" spans="1:4" ht="113.25" customHeight="1" x14ac:dyDescent="0.3">
      <c r="A103" s="38" t="s">
        <v>745</v>
      </c>
      <c r="B103" s="12" t="s">
        <v>744</v>
      </c>
      <c r="C103" s="12">
        <v>600</v>
      </c>
      <c r="D103" s="5">
        <f>6000+600000</f>
        <v>606000</v>
      </c>
    </row>
    <row r="104" spans="1:4" ht="113.25" customHeight="1" x14ac:dyDescent="0.3">
      <c r="A104" s="38" t="s">
        <v>763</v>
      </c>
      <c r="B104" s="12" t="s">
        <v>762</v>
      </c>
      <c r="C104" s="12">
        <v>600</v>
      </c>
      <c r="D104" s="5">
        <v>6000</v>
      </c>
    </row>
    <row r="105" spans="1:4" ht="93.75" x14ac:dyDescent="0.3">
      <c r="A105" s="20" t="s">
        <v>576</v>
      </c>
      <c r="B105" s="12" t="s">
        <v>579</v>
      </c>
      <c r="C105" s="12">
        <v>600</v>
      </c>
      <c r="D105" s="5">
        <f>900000+9090.91</f>
        <v>909090.91</v>
      </c>
    </row>
    <row r="106" spans="1:4" ht="75" x14ac:dyDescent="0.3">
      <c r="A106" s="20" t="s">
        <v>639</v>
      </c>
      <c r="B106" s="12" t="s">
        <v>638</v>
      </c>
      <c r="C106" s="12">
        <v>600</v>
      </c>
      <c r="D106" s="5">
        <f>40854795.3+416843.13-1010.1-3158.33+3584836.74+36210.47+1145204.7+11567.72+5088718.8+51401.2+6336574.2+64005.8</f>
        <v>57585989.630000003</v>
      </c>
    </row>
    <row r="107" spans="1:4" ht="75" x14ac:dyDescent="0.3">
      <c r="A107" s="18" t="s">
        <v>674</v>
      </c>
      <c r="B107" s="19" t="s">
        <v>673</v>
      </c>
      <c r="C107" s="19"/>
      <c r="D107" s="14">
        <f>SUM(D108:D108)</f>
        <v>721597.43999999994</v>
      </c>
    </row>
    <row r="108" spans="1:4" ht="113.25" customHeight="1" x14ac:dyDescent="0.3">
      <c r="A108" s="20" t="s">
        <v>684</v>
      </c>
      <c r="B108" s="12" t="s">
        <v>675</v>
      </c>
      <c r="C108" s="12">
        <v>600</v>
      </c>
      <c r="D108" s="5">
        <f>721597.44+10681.92-10681.92</f>
        <v>721597.43999999994</v>
      </c>
    </row>
    <row r="109" spans="1:4" ht="37.5" x14ac:dyDescent="0.3">
      <c r="A109" s="21" t="s">
        <v>430</v>
      </c>
      <c r="B109" s="19" t="s">
        <v>471</v>
      </c>
      <c r="C109" s="17"/>
      <c r="D109" s="14">
        <f>D110</f>
        <v>492532.4</v>
      </c>
    </row>
    <row r="110" spans="1:4" ht="103.5" customHeight="1" x14ac:dyDescent="0.3">
      <c r="A110" s="20" t="s">
        <v>473</v>
      </c>
      <c r="B110" s="12" t="s">
        <v>472</v>
      </c>
      <c r="C110" s="12">
        <v>600</v>
      </c>
      <c r="D110" s="5">
        <f>492482.4+50</f>
        <v>492532.4</v>
      </c>
    </row>
    <row r="111" spans="1:4" s="4" customFormat="1" ht="48" customHeight="1" x14ac:dyDescent="0.3">
      <c r="A111" s="16" t="s">
        <v>22</v>
      </c>
      <c r="B111" s="17" t="s">
        <v>21</v>
      </c>
      <c r="C111" s="17"/>
      <c r="D111" s="13">
        <f t="shared" ref="D111" si="1">D112+D116</f>
        <v>847568</v>
      </c>
    </row>
    <row r="112" spans="1:4" s="3" customFormat="1" ht="51.75" customHeight="1" x14ac:dyDescent="0.3">
      <c r="A112" s="18" t="s">
        <v>168</v>
      </c>
      <c r="B112" s="19" t="s">
        <v>23</v>
      </c>
      <c r="C112" s="19"/>
      <c r="D112" s="14">
        <f t="shared" ref="D112" si="2">SUM(D113:D115)</f>
        <v>795488</v>
      </c>
    </row>
    <row r="113" spans="1:5" ht="87.75" customHeight="1" x14ac:dyDescent="0.3">
      <c r="A113" s="20" t="s">
        <v>417</v>
      </c>
      <c r="B113" s="12" t="s">
        <v>25</v>
      </c>
      <c r="C113" s="12">
        <v>600</v>
      </c>
      <c r="D113" s="5">
        <v>22100</v>
      </c>
    </row>
    <row r="114" spans="1:5" s="4" customFormat="1" ht="93.75" x14ac:dyDescent="0.3">
      <c r="A114" s="20" t="s">
        <v>414</v>
      </c>
      <c r="B114" s="12" t="s">
        <v>24</v>
      </c>
      <c r="C114" s="12">
        <v>200</v>
      </c>
      <c r="D114" s="5">
        <f>135408+54684-26040</f>
        <v>164052</v>
      </c>
      <c r="E114" s="31"/>
    </row>
    <row r="115" spans="1:5" s="3" customFormat="1" ht="102.75" customHeight="1" x14ac:dyDescent="0.3">
      <c r="A115" s="20" t="s">
        <v>415</v>
      </c>
      <c r="B115" s="12" t="s">
        <v>24</v>
      </c>
      <c r="C115" s="12">
        <v>600</v>
      </c>
      <c r="D115" s="5">
        <f>411432+171864+26040</f>
        <v>609336</v>
      </c>
    </row>
    <row r="116" spans="1:5" ht="50.25" customHeight="1" x14ac:dyDescent="0.3">
      <c r="A116" s="18" t="s">
        <v>162</v>
      </c>
      <c r="B116" s="19" t="s">
        <v>26</v>
      </c>
      <c r="C116" s="19"/>
      <c r="D116" s="14">
        <f t="shared" ref="D116" si="3">D117</f>
        <v>52080</v>
      </c>
    </row>
    <row r="117" spans="1:5" ht="120.75" customHeight="1" x14ac:dyDescent="0.3">
      <c r="A117" s="20" t="s">
        <v>163</v>
      </c>
      <c r="B117" s="12" t="s">
        <v>27</v>
      </c>
      <c r="C117" s="12">
        <v>200</v>
      </c>
      <c r="D117" s="5">
        <v>52080</v>
      </c>
    </row>
    <row r="118" spans="1:5" ht="31.5" customHeight="1" x14ac:dyDescent="0.3">
      <c r="A118" s="16" t="s">
        <v>184</v>
      </c>
      <c r="B118" s="17" t="s">
        <v>28</v>
      </c>
      <c r="C118" s="17"/>
      <c r="D118" s="13">
        <f t="shared" ref="D118" si="4">D119</f>
        <v>169990</v>
      </c>
    </row>
    <row r="119" spans="1:5" ht="45" customHeight="1" x14ac:dyDescent="0.3">
      <c r="A119" s="18" t="s">
        <v>185</v>
      </c>
      <c r="B119" s="19" t="s">
        <v>29</v>
      </c>
      <c r="C119" s="19"/>
      <c r="D119" s="14">
        <f t="shared" ref="D119" si="5">SUM(D120:D124)</f>
        <v>169990</v>
      </c>
    </row>
    <row r="120" spans="1:5" s="3" customFormat="1" ht="129.75" customHeight="1" x14ac:dyDescent="0.3">
      <c r="A120" s="20" t="s">
        <v>186</v>
      </c>
      <c r="B120" s="12" t="s">
        <v>30</v>
      </c>
      <c r="C120" s="12">
        <v>200</v>
      </c>
      <c r="D120" s="5">
        <v>19590</v>
      </c>
    </row>
    <row r="121" spans="1:5" ht="130.5" customHeight="1" x14ac:dyDescent="0.3">
      <c r="A121" s="20" t="s">
        <v>369</v>
      </c>
      <c r="B121" s="12" t="s">
        <v>30</v>
      </c>
      <c r="C121" s="12">
        <v>600</v>
      </c>
      <c r="D121" s="5">
        <f>65000</f>
        <v>65000</v>
      </c>
    </row>
    <row r="122" spans="1:5" s="4" customFormat="1" ht="112.5" customHeight="1" x14ac:dyDescent="0.3">
      <c r="A122" s="20" t="s">
        <v>187</v>
      </c>
      <c r="B122" s="12" t="s">
        <v>31</v>
      </c>
      <c r="C122" s="12">
        <v>200</v>
      </c>
      <c r="D122" s="5">
        <f>73000-30000</f>
        <v>43000</v>
      </c>
    </row>
    <row r="123" spans="1:5" s="4" customFormat="1" ht="111.75" customHeight="1" x14ac:dyDescent="0.3">
      <c r="A123" s="20" t="s">
        <v>332</v>
      </c>
      <c r="B123" s="12" t="s">
        <v>31</v>
      </c>
      <c r="C123" s="12">
        <v>600</v>
      </c>
      <c r="D123" s="5">
        <f>22000+30000-19600</f>
        <v>32400</v>
      </c>
    </row>
    <row r="124" spans="1:5" s="4" customFormat="1" ht="93.75" customHeight="1" x14ac:dyDescent="0.3">
      <c r="A124" s="20" t="s">
        <v>370</v>
      </c>
      <c r="B124" s="12" t="s">
        <v>365</v>
      </c>
      <c r="C124" s="12">
        <v>600</v>
      </c>
      <c r="D124" s="5">
        <v>10000</v>
      </c>
    </row>
    <row r="125" spans="1:5" s="3" customFormat="1" ht="49.5" customHeight="1" x14ac:dyDescent="0.3">
      <c r="A125" s="22" t="s">
        <v>33</v>
      </c>
      <c r="B125" s="17" t="s">
        <v>32</v>
      </c>
      <c r="C125" s="17"/>
      <c r="D125" s="13">
        <f t="shared" ref="D125" si="6">D126</f>
        <v>50000</v>
      </c>
    </row>
    <row r="126" spans="1:5" ht="53.25" customHeight="1" x14ac:dyDescent="0.3">
      <c r="A126" s="18" t="s">
        <v>35</v>
      </c>
      <c r="B126" s="19" t="s">
        <v>34</v>
      </c>
      <c r="C126" s="19"/>
      <c r="D126" s="14">
        <f t="shared" ref="D126" si="7">SUM(D127:D128)</f>
        <v>50000</v>
      </c>
    </row>
    <row r="127" spans="1:5" ht="121.5" customHeight="1" x14ac:dyDescent="0.3">
      <c r="A127" s="20" t="s">
        <v>150</v>
      </c>
      <c r="B127" s="12" t="s">
        <v>36</v>
      </c>
      <c r="C127" s="12">
        <v>200</v>
      </c>
      <c r="D127" s="5">
        <v>30000</v>
      </c>
    </row>
    <row r="128" spans="1:5" ht="120.75" customHeight="1" x14ac:dyDescent="0.3">
      <c r="A128" s="20" t="s">
        <v>147</v>
      </c>
      <c r="B128" s="12" t="s">
        <v>36</v>
      </c>
      <c r="C128" s="12">
        <v>600</v>
      </c>
      <c r="D128" s="5">
        <v>20000</v>
      </c>
    </row>
    <row r="129" spans="1:4" ht="71.25" customHeight="1" x14ac:dyDescent="0.3">
      <c r="A129" s="16" t="s">
        <v>188</v>
      </c>
      <c r="B129" s="17" t="s">
        <v>37</v>
      </c>
      <c r="C129" s="17"/>
      <c r="D129" s="13">
        <f t="shared" ref="D129" si="8">D130</f>
        <v>10935511</v>
      </c>
    </row>
    <row r="130" spans="1:4" s="4" customFormat="1" ht="82.5" customHeight="1" x14ac:dyDescent="0.3">
      <c r="A130" s="18" t="s">
        <v>337</v>
      </c>
      <c r="B130" s="19" t="s">
        <v>38</v>
      </c>
      <c r="C130" s="19"/>
      <c r="D130" s="14">
        <f t="shared" ref="D130" si="9">SUM(D131:D133)</f>
        <v>10935511</v>
      </c>
    </row>
    <row r="131" spans="1:4" s="3" customFormat="1" ht="125.25" customHeight="1" x14ac:dyDescent="0.3">
      <c r="A131" s="20" t="s">
        <v>134</v>
      </c>
      <c r="B131" s="12" t="s">
        <v>39</v>
      </c>
      <c r="C131" s="12">
        <v>100</v>
      </c>
      <c r="D131" s="5">
        <f>7780724.98+164452.44+231988.32+76777.2+54639.59+217017.36+190854.92+240527.84+10348.08</f>
        <v>8967330.7300000004</v>
      </c>
    </row>
    <row r="132" spans="1:4" ht="71.25" customHeight="1" x14ac:dyDescent="0.3">
      <c r="A132" s="20" t="s">
        <v>189</v>
      </c>
      <c r="B132" s="12" t="s">
        <v>39</v>
      </c>
      <c r="C132" s="12">
        <v>200</v>
      </c>
      <c r="D132" s="5">
        <f>1612443.62+58821.12+234415.53+50828</f>
        <v>1956508.2700000003</v>
      </c>
    </row>
    <row r="133" spans="1:4" ht="37.5" x14ac:dyDescent="0.3">
      <c r="A133" s="20" t="s">
        <v>190</v>
      </c>
      <c r="B133" s="12" t="s">
        <v>39</v>
      </c>
      <c r="C133" s="12">
        <v>800</v>
      </c>
      <c r="D133" s="5">
        <f>22500-10828</f>
        <v>11672</v>
      </c>
    </row>
    <row r="134" spans="1:4" ht="84.75" hidden="1" customHeight="1" x14ac:dyDescent="0.3">
      <c r="A134" s="16" t="s">
        <v>488</v>
      </c>
      <c r="B134" s="17" t="s">
        <v>479</v>
      </c>
      <c r="C134" s="17"/>
      <c r="D134" s="13">
        <v>0</v>
      </c>
    </row>
    <row r="135" spans="1:4" ht="81.75" customHeight="1" x14ac:dyDescent="0.3">
      <c r="A135" s="16" t="s">
        <v>434</v>
      </c>
      <c r="B135" s="17" t="s">
        <v>435</v>
      </c>
      <c r="C135" s="17"/>
      <c r="D135" s="13">
        <f t="shared" ref="D135:D136" si="10">D136</f>
        <v>15000</v>
      </c>
    </row>
    <row r="136" spans="1:4" ht="82.5" customHeight="1" x14ac:dyDescent="0.3">
      <c r="A136" s="18" t="s">
        <v>436</v>
      </c>
      <c r="B136" s="19" t="s">
        <v>437</v>
      </c>
      <c r="C136" s="19"/>
      <c r="D136" s="14">
        <f t="shared" si="10"/>
        <v>15000</v>
      </c>
    </row>
    <row r="137" spans="1:4" ht="84" customHeight="1" x14ac:dyDescent="0.3">
      <c r="A137" s="20" t="s">
        <v>439</v>
      </c>
      <c r="B137" s="12" t="s">
        <v>438</v>
      </c>
      <c r="C137" s="12">
        <v>200</v>
      </c>
      <c r="D137" s="5">
        <v>15000</v>
      </c>
    </row>
    <row r="138" spans="1:4" s="4" customFormat="1" ht="81.75" customHeight="1" x14ac:dyDescent="0.3">
      <c r="A138" s="16" t="s">
        <v>399</v>
      </c>
      <c r="B138" s="17" t="s">
        <v>40</v>
      </c>
      <c r="C138" s="17"/>
      <c r="D138" s="13">
        <f>D139+D150+D157+D164+D187+D197+D201+D160</f>
        <v>74205282.699999988</v>
      </c>
    </row>
    <row r="139" spans="1:4" s="3" customFormat="1" ht="53.25" customHeight="1" x14ac:dyDescent="0.3">
      <c r="A139" s="16" t="s">
        <v>191</v>
      </c>
      <c r="B139" s="17" t="s">
        <v>41</v>
      </c>
      <c r="C139" s="17"/>
      <c r="D139" s="13">
        <f t="shared" ref="D139" si="11">D140</f>
        <v>26793985.139999997</v>
      </c>
    </row>
    <row r="140" spans="1:4" s="4" customFormat="1" ht="105.75" customHeight="1" x14ac:dyDescent="0.3">
      <c r="A140" s="21" t="s">
        <v>226</v>
      </c>
      <c r="B140" s="19" t="s">
        <v>227</v>
      </c>
      <c r="C140" s="19"/>
      <c r="D140" s="14">
        <f>SUM(D141:D149)</f>
        <v>26793985.139999997</v>
      </c>
    </row>
    <row r="141" spans="1:4" s="4" customFormat="1" ht="111.75" customHeight="1" x14ac:dyDescent="0.3">
      <c r="A141" s="20" t="s">
        <v>444</v>
      </c>
      <c r="B141" s="12" t="s">
        <v>446</v>
      </c>
      <c r="C141" s="12">
        <v>500</v>
      </c>
      <c r="D141" s="5">
        <f>1025066.51+86105.59</f>
        <v>1111172.1000000001</v>
      </c>
    </row>
    <row r="142" spans="1:4" s="4" customFormat="1" ht="152.25" customHeight="1" x14ac:dyDescent="0.3">
      <c r="A142" s="20" t="s">
        <v>573</v>
      </c>
      <c r="B142" s="12" t="s">
        <v>580</v>
      </c>
      <c r="C142" s="12">
        <v>500</v>
      </c>
      <c r="D142" s="5">
        <f>3109098.55+261164.28</f>
        <v>3370262.8299999996</v>
      </c>
    </row>
    <row r="143" spans="1:4" s="3" customFormat="1" ht="66.75" customHeight="1" x14ac:dyDescent="0.3">
      <c r="A143" s="20" t="s">
        <v>455</v>
      </c>
      <c r="B143" s="12" t="s">
        <v>333</v>
      </c>
      <c r="C143" s="12">
        <v>200</v>
      </c>
      <c r="D143" s="5">
        <f>246813.34+231505.98+6906.68</f>
        <v>485226</v>
      </c>
    </row>
    <row r="144" spans="1:4" s="3" customFormat="1" ht="117" customHeight="1" x14ac:dyDescent="0.3">
      <c r="A144" s="20" t="s">
        <v>490</v>
      </c>
      <c r="B144" s="12" t="s">
        <v>489</v>
      </c>
      <c r="C144" s="12">
        <v>200</v>
      </c>
      <c r="D144" s="5">
        <f>206778.8+210045.76+215692.11+216666.67+1026666.67</f>
        <v>1875850.01</v>
      </c>
    </row>
    <row r="145" spans="1:4" s="3" customFormat="1" ht="117" customHeight="1" x14ac:dyDescent="0.3">
      <c r="A145" s="37" t="s">
        <v>602</v>
      </c>
      <c r="B145" s="12" t="s">
        <v>600</v>
      </c>
      <c r="C145" s="12">
        <v>200</v>
      </c>
      <c r="D145" s="5">
        <v>188233</v>
      </c>
    </row>
    <row r="146" spans="1:4" s="3" customFormat="1" ht="90" customHeight="1" x14ac:dyDescent="0.3">
      <c r="A146" s="20" t="s">
        <v>603</v>
      </c>
      <c r="B146" s="12" t="s">
        <v>601</v>
      </c>
      <c r="C146" s="12">
        <v>400</v>
      </c>
      <c r="D146" s="5">
        <f>1800000+40000</f>
        <v>1840000</v>
      </c>
    </row>
    <row r="147" spans="1:4" s="3" customFormat="1" ht="111" customHeight="1" x14ac:dyDescent="0.3">
      <c r="A147" s="20" t="s">
        <v>668</v>
      </c>
      <c r="B147" s="12" t="s">
        <v>667</v>
      </c>
      <c r="C147" s="12">
        <v>200</v>
      </c>
      <c r="D147" s="5">
        <f>331000-31000-56076.4</f>
        <v>243923.6</v>
      </c>
    </row>
    <row r="148" spans="1:4" s="3" customFormat="1" ht="119.25" customHeight="1" x14ac:dyDescent="0.3">
      <c r="A148" s="20" t="s">
        <v>677</v>
      </c>
      <c r="B148" s="12" t="s">
        <v>676</v>
      </c>
      <c r="C148" s="12">
        <v>200</v>
      </c>
      <c r="D148" s="5">
        <v>572810</v>
      </c>
    </row>
    <row r="149" spans="1:4" s="3" customFormat="1" ht="90" customHeight="1" x14ac:dyDescent="0.3">
      <c r="A149" s="20" t="s">
        <v>653</v>
      </c>
      <c r="B149" s="12" t="s">
        <v>652</v>
      </c>
      <c r="C149" s="12">
        <v>200</v>
      </c>
      <c r="D149" s="5">
        <f>16935442.52+171065.08</f>
        <v>17106507.599999998</v>
      </c>
    </row>
    <row r="150" spans="1:4" ht="65.25" customHeight="1" x14ac:dyDescent="0.3">
      <c r="A150" s="16" t="s">
        <v>192</v>
      </c>
      <c r="B150" s="17" t="s">
        <v>42</v>
      </c>
      <c r="C150" s="17"/>
      <c r="D150" s="13">
        <f t="shared" ref="D150" si="12">D151</f>
        <v>320000</v>
      </c>
    </row>
    <row r="151" spans="1:4" ht="50.25" customHeight="1" x14ac:dyDescent="0.3">
      <c r="A151" s="18" t="s">
        <v>193</v>
      </c>
      <c r="B151" s="19" t="s">
        <v>43</v>
      </c>
      <c r="C151" s="19"/>
      <c r="D151" s="14">
        <f>SUM(D152:D156)</f>
        <v>320000</v>
      </c>
    </row>
    <row r="152" spans="1:4" s="3" customFormat="1" ht="69.75" customHeight="1" x14ac:dyDescent="0.3">
      <c r="A152" s="20" t="s">
        <v>228</v>
      </c>
      <c r="B152" s="12" t="s">
        <v>44</v>
      </c>
      <c r="C152" s="12">
        <v>200</v>
      </c>
      <c r="D152" s="5">
        <f>184021+146856.61-87906.68+35695.74-22044.21-6622.46</f>
        <v>250000</v>
      </c>
    </row>
    <row r="153" spans="1:4" ht="127.5" customHeight="1" x14ac:dyDescent="0.3">
      <c r="A153" s="20" t="s">
        <v>326</v>
      </c>
      <c r="B153" s="12" t="s">
        <v>45</v>
      </c>
      <c r="C153" s="12">
        <v>200</v>
      </c>
      <c r="D153" s="5">
        <v>20000</v>
      </c>
    </row>
    <row r="154" spans="1:4" ht="143.25" customHeight="1" x14ac:dyDescent="0.3">
      <c r="A154" s="20" t="s">
        <v>327</v>
      </c>
      <c r="B154" s="12" t="s">
        <v>45</v>
      </c>
      <c r="C154" s="12">
        <v>600</v>
      </c>
      <c r="D154" s="5">
        <v>20000</v>
      </c>
    </row>
    <row r="155" spans="1:4" s="4" customFormat="1" ht="87.75" customHeight="1" x14ac:dyDescent="0.3">
      <c r="A155" s="20" t="s">
        <v>229</v>
      </c>
      <c r="B155" s="12" t="s">
        <v>230</v>
      </c>
      <c r="C155" s="12">
        <v>200</v>
      </c>
      <c r="D155" s="5">
        <f>30000-10000</f>
        <v>20000</v>
      </c>
    </row>
    <row r="156" spans="1:4" s="4" customFormat="1" ht="87.75" customHeight="1" x14ac:dyDescent="0.3">
      <c r="A156" s="20" t="s">
        <v>604</v>
      </c>
      <c r="B156" s="12" t="s">
        <v>230</v>
      </c>
      <c r="C156" s="12">
        <v>600</v>
      </c>
      <c r="D156" s="5">
        <v>10000</v>
      </c>
    </row>
    <row r="157" spans="1:4" s="3" customFormat="1" ht="109.5" customHeight="1" x14ac:dyDescent="0.3">
      <c r="A157" s="23" t="s">
        <v>469</v>
      </c>
      <c r="B157" s="17" t="s">
        <v>46</v>
      </c>
      <c r="C157" s="17"/>
      <c r="D157" s="13">
        <f t="shared" ref="D157" si="13">D158</f>
        <v>2825009.71</v>
      </c>
    </row>
    <row r="158" spans="1:4" ht="66.75" customHeight="1" x14ac:dyDescent="0.3">
      <c r="A158" s="18" t="s">
        <v>48</v>
      </c>
      <c r="B158" s="19" t="s">
        <v>47</v>
      </c>
      <c r="C158" s="19"/>
      <c r="D158" s="14">
        <f t="shared" ref="D158" si="14">SUM(D159:D159)</f>
        <v>2825009.71</v>
      </c>
    </row>
    <row r="159" spans="1:4" ht="112.5" x14ac:dyDescent="0.3">
      <c r="A159" s="11" t="s">
        <v>411</v>
      </c>
      <c r="B159" s="12" t="s">
        <v>412</v>
      </c>
      <c r="C159" s="12">
        <v>200</v>
      </c>
      <c r="D159" s="5">
        <f>2651299.67+305778.63-132068.59</f>
        <v>2825009.71</v>
      </c>
    </row>
    <row r="160" spans="1:4" ht="37.5" x14ac:dyDescent="0.3">
      <c r="A160" s="23" t="s">
        <v>495</v>
      </c>
      <c r="B160" s="17" t="s">
        <v>491</v>
      </c>
      <c r="C160" s="17"/>
      <c r="D160" s="13">
        <f>D161</f>
        <v>2444068.5</v>
      </c>
    </row>
    <row r="161" spans="1:4" ht="37.5" x14ac:dyDescent="0.3">
      <c r="A161" s="21" t="s">
        <v>496</v>
      </c>
      <c r="B161" s="19" t="s">
        <v>492</v>
      </c>
      <c r="C161" s="19"/>
      <c r="D161" s="14">
        <f>SUM(D162:D163)</f>
        <v>2444068.5</v>
      </c>
    </row>
    <row r="162" spans="1:4" ht="56.25" x14ac:dyDescent="0.3">
      <c r="A162" s="11" t="s">
        <v>497</v>
      </c>
      <c r="B162" s="12" t="s">
        <v>493</v>
      </c>
      <c r="C162" s="12">
        <v>200</v>
      </c>
      <c r="D162" s="5">
        <f>1000000+444523.4</f>
        <v>1444523.4</v>
      </c>
    </row>
    <row r="163" spans="1:4" ht="93.75" x14ac:dyDescent="0.3">
      <c r="A163" s="11" t="s">
        <v>498</v>
      </c>
      <c r="B163" s="12" t="s">
        <v>494</v>
      </c>
      <c r="C163" s="12">
        <v>200</v>
      </c>
      <c r="D163" s="5">
        <f>1000000-454.9</f>
        <v>999545.1</v>
      </c>
    </row>
    <row r="164" spans="1:4" s="4" customFormat="1" ht="75" x14ac:dyDescent="0.3">
      <c r="A164" s="23" t="s">
        <v>231</v>
      </c>
      <c r="B164" s="17" t="s">
        <v>232</v>
      </c>
      <c r="C164" s="12"/>
      <c r="D164" s="13">
        <f>D165+D171+D177+D180+D182+D166</f>
        <v>29402984.959999993</v>
      </c>
    </row>
    <row r="165" spans="1:4" s="3" customFormat="1" ht="37.5" hidden="1" x14ac:dyDescent="0.3">
      <c r="A165" s="21" t="s">
        <v>233</v>
      </c>
      <c r="B165" s="19" t="s">
        <v>234</v>
      </c>
      <c r="C165" s="12"/>
      <c r="D165" s="14"/>
    </row>
    <row r="166" spans="1:4" s="3" customFormat="1" ht="37.5" x14ac:dyDescent="0.3">
      <c r="A166" s="21" t="s">
        <v>233</v>
      </c>
      <c r="B166" s="19" t="s">
        <v>234</v>
      </c>
      <c r="C166" s="12"/>
      <c r="D166" s="14">
        <f>SUM(D167:D170)</f>
        <v>22921014.309999995</v>
      </c>
    </row>
    <row r="167" spans="1:4" s="3" customFormat="1" ht="93.75" x14ac:dyDescent="0.3">
      <c r="A167" s="11" t="s">
        <v>500</v>
      </c>
      <c r="B167" s="12" t="s">
        <v>499</v>
      </c>
      <c r="C167" s="12">
        <v>200</v>
      </c>
      <c r="D167" s="5">
        <f>451343.67+477531.27+297960.65-7643.26-10000</f>
        <v>1209192.3299999998</v>
      </c>
    </row>
    <row r="168" spans="1:4" s="3" customFormat="1" ht="101.25" customHeight="1" x14ac:dyDescent="0.3">
      <c r="A168" s="11" t="s">
        <v>641</v>
      </c>
      <c r="B168" s="12" t="s">
        <v>640</v>
      </c>
      <c r="C168" s="12">
        <v>200</v>
      </c>
      <c r="D168" s="5">
        <v>7643.26</v>
      </c>
    </row>
    <row r="169" spans="1:4" s="3" customFormat="1" ht="101.25" customHeight="1" x14ac:dyDescent="0.3">
      <c r="A169" s="11" t="s">
        <v>710</v>
      </c>
      <c r="B169" s="12" t="s">
        <v>709</v>
      </c>
      <c r="C169" s="12">
        <v>200</v>
      </c>
      <c r="D169" s="5">
        <v>149263.82999999999</v>
      </c>
    </row>
    <row r="170" spans="1:4" s="3" customFormat="1" ht="107.25" customHeight="1" x14ac:dyDescent="0.3">
      <c r="A170" s="11" t="s">
        <v>582</v>
      </c>
      <c r="B170" s="12" t="s">
        <v>581</v>
      </c>
      <c r="C170" s="12">
        <v>400</v>
      </c>
      <c r="D170" s="5">
        <f>21600000+214039+4142.82-260634.26-2632.67</f>
        <v>21554914.889999997</v>
      </c>
    </row>
    <row r="171" spans="1:4" ht="50.25" customHeight="1" x14ac:dyDescent="0.3">
      <c r="A171" s="21" t="s">
        <v>235</v>
      </c>
      <c r="B171" s="19" t="s">
        <v>236</v>
      </c>
      <c r="C171" s="12"/>
      <c r="D171" s="14">
        <f>SUM(D172:D176)</f>
        <v>4562671.47</v>
      </c>
    </row>
    <row r="172" spans="1:4" ht="113.25" customHeight="1" x14ac:dyDescent="0.3">
      <c r="A172" s="11" t="s">
        <v>502</v>
      </c>
      <c r="B172" s="12" t="s">
        <v>501</v>
      </c>
      <c r="C172" s="12">
        <v>500</v>
      </c>
      <c r="D172" s="5">
        <v>651932.06000000006</v>
      </c>
    </row>
    <row r="173" spans="1:4" ht="117" customHeight="1" x14ac:dyDescent="0.3">
      <c r="A173" s="11" t="s">
        <v>445</v>
      </c>
      <c r="B173" s="12" t="s">
        <v>447</v>
      </c>
      <c r="C173" s="12">
        <v>500</v>
      </c>
      <c r="D173" s="5">
        <v>400000</v>
      </c>
    </row>
    <row r="174" spans="1:4" ht="84.75" customHeight="1" x14ac:dyDescent="0.3">
      <c r="A174" s="11" t="s">
        <v>377</v>
      </c>
      <c r="B174" s="12" t="s">
        <v>418</v>
      </c>
      <c r="C174" s="12">
        <v>200</v>
      </c>
      <c r="D174" s="5">
        <f>1600000-44862.6</f>
        <v>1555137.4</v>
      </c>
    </row>
    <row r="175" spans="1:4" ht="101.25" customHeight="1" x14ac:dyDescent="0.3">
      <c r="A175" s="11" t="s">
        <v>424</v>
      </c>
      <c r="B175" s="12" t="s">
        <v>419</v>
      </c>
      <c r="C175" s="12">
        <v>200</v>
      </c>
      <c r="D175" s="5">
        <f>600000+129824+152580+362539-9841+198975.4+127924.61</f>
        <v>1562002.01</v>
      </c>
    </row>
    <row r="176" spans="1:4" ht="66" customHeight="1" x14ac:dyDescent="0.3">
      <c r="A176" s="11" t="s">
        <v>606</v>
      </c>
      <c r="B176" s="12" t="s">
        <v>605</v>
      </c>
      <c r="C176" s="12">
        <v>200</v>
      </c>
      <c r="D176" s="5">
        <f>428586.66-34986.66</f>
        <v>393600</v>
      </c>
    </row>
    <row r="177" spans="1:4" ht="46.5" customHeight="1" x14ac:dyDescent="0.3">
      <c r="A177" s="21" t="s">
        <v>237</v>
      </c>
      <c r="B177" s="19" t="s">
        <v>238</v>
      </c>
      <c r="C177" s="12"/>
      <c r="D177" s="14">
        <f>SUM(D178:D179)</f>
        <v>1070794.92</v>
      </c>
    </row>
    <row r="178" spans="1:4" ht="100.5" customHeight="1" x14ac:dyDescent="0.3">
      <c r="A178" s="11" t="s">
        <v>504</v>
      </c>
      <c r="B178" s="12" t="s">
        <v>503</v>
      </c>
      <c r="C178" s="12">
        <v>500</v>
      </c>
      <c r="D178" s="5">
        <v>250000</v>
      </c>
    </row>
    <row r="179" spans="1:4" ht="92.25" customHeight="1" x14ac:dyDescent="0.3">
      <c r="A179" s="11" t="s">
        <v>679</v>
      </c>
      <c r="B179" s="12" t="s">
        <v>678</v>
      </c>
      <c r="C179" s="12">
        <v>200</v>
      </c>
      <c r="D179" s="5">
        <v>820794.92</v>
      </c>
    </row>
    <row r="180" spans="1:4" s="4" customFormat="1" ht="64.5" customHeight="1" x14ac:dyDescent="0.3">
      <c r="A180" s="21" t="s">
        <v>315</v>
      </c>
      <c r="B180" s="19" t="s">
        <v>239</v>
      </c>
      <c r="C180" s="12"/>
      <c r="D180" s="14">
        <f t="shared" ref="D180" si="15">D181</f>
        <v>77635.75</v>
      </c>
    </row>
    <row r="181" spans="1:4" s="3" customFormat="1" ht="87" customHeight="1" x14ac:dyDescent="0.3">
      <c r="A181" s="11" t="s">
        <v>316</v>
      </c>
      <c r="B181" s="12" t="s">
        <v>240</v>
      </c>
      <c r="C181" s="12">
        <v>200</v>
      </c>
      <c r="D181" s="5">
        <f>80000-2364.25</f>
        <v>77635.75</v>
      </c>
    </row>
    <row r="182" spans="1:4" s="3" customFormat="1" ht="54.75" customHeight="1" x14ac:dyDescent="0.3">
      <c r="A182" s="21" t="s">
        <v>341</v>
      </c>
      <c r="B182" s="19" t="s">
        <v>339</v>
      </c>
      <c r="C182" s="19"/>
      <c r="D182" s="14">
        <f>SUM(D183:D186)</f>
        <v>770868.51</v>
      </c>
    </row>
    <row r="183" spans="1:4" s="3" customFormat="1" ht="92.25" customHeight="1" x14ac:dyDescent="0.3">
      <c r="A183" s="11" t="s">
        <v>342</v>
      </c>
      <c r="B183" s="12" t="s">
        <v>340</v>
      </c>
      <c r="C183" s="12">
        <v>200</v>
      </c>
      <c r="D183" s="5">
        <f>402341.38-32580-50000-98898.36</f>
        <v>220863.02000000002</v>
      </c>
    </row>
    <row r="184" spans="1:4" s="3" customFormat="1" ht="92.25" customHeight="1" x14ac:dyDescent="0.3">
      <c r="A184" s="11" t="s">
        <v>507</v>
      </c>
      <c r="B184" s="12" t="s">
        <v>505</v>
      </c>
      <c r="C184" s="12">
        <v>200</v>
      </c>
      <c r="D184" s="5">
        <f>30000-6614.86</f>
        <v>23385.14</v>
      </c>
    </row>
    <row r="185" spans="1:4" s="3" customFormat="1" ht="107.25" customHeight="1" x14ac:dyDescent="0.3">
      <c r="A185" s="11" t="s">
        <v>681</v>
      </c>
      <c r="B185" s="12" t="s">
        <v>680</v>
      </c>
      <c r="C185" s="12">
        <v>200</v>
      </c>
      <c r="D185" s="5">
        <v>50000</v>
      </c>
    </row>
    <row r="186" spans="1:4" s="3" customFormat="1" ht="222" customHeight="1" x14ac:dyDescent="0.3">
      <c r="A186" s="11" t="s">
        <v>508</v>
      </c>
      <c r="B186" s="12" t="s">
        <v>506</v>
      </c>
      <c r="C186" s="12">
        <v>800</v>
      </c>
      <c r="D186" s="5">
        <f>456067.61+13937.88+6614.86</f>
        <v>476620.35</v>
      </c>
    </row>
    <row r="187" spans="1:4" s="3" customFormat="1" ht="106.5" customHeight="1" x14ac:dyDescent="0.3">
      <c r="A187" s="23" t="s">
        <v>241</v>
      </c>
      <c r="B187" s="17" t="s">
        <v>242</v>
      </c>
      <c r="C187" s="12"/>
      <c r="D187" s="13">
        <f>D188+D193+D195</f>
        <v>7412151.5</v>
      </c>
    </row>
    <row r="188" spans="1:4" ht="110.25" customHeight="1" x14ac:dyDescent="0.3">
      <c r="A188" s="21" t="s">
        <v>243</v>
      </c>
      <c r="B188" s="19" t="s">
        <v>244</v>
      </c>
      <c r="C188" s="12"/>
      <c r="D188" s="14">
        <f>SUM(D189:D192)</f>
        <v>7346099.5</v>
      </c>
    </row>
    <row r="189" spans="1:4" s="4" customFormat="1" ht="105" customHeight="1" x14ac:dyDescent="0.3">
      <c r="A189" s="11" t="s">
        <v>245</v>
      </c>
      <c r="B189" s="12" t="s">
        <v>246</v>
      </c>
      <c r="C189" s="12">
        <v>200</v>
      </c>
      <c r="D189" s="5">
        <v>30000</v>
      </c>
    </row>
    <row r="190" spans="1:4" s="4" customFormat="1" ht="159" customHeight="1" x14ac:dyDescent="0.3">
      <c r="A190" s="11" t="s">
        <v>247</v>
      </c>
      <c r="B190" s="12" t="s">
        <v>248</v>
      </c>
      <c r="C190" s="12">
        <v>200</v>
      </c>
      <c r="D190" s="5">
        <v>4000</v>
      </c>
    </row>
    <row r="191" spans="1:4" s="4" customFormat="1" ht="111" customHeight="1" x14ac:dyDescent="0.3">
      <c r="A191" s="11" t="s">
        <v>696</v>
      </c>
      <c r="B191" s="12" t="s">
        <v>378</v>
      </c>
      <c r="C191" s="12">
        <v>200</v>
      </c>
      <c r="D191" s="5">
        <f>350000+500000+300000-247000-356443.5-1854</f>
        <v>544702.5</v>
      </c>
    </row>
    <row r="192" spans="1:4" s="4" customFormat="1" ht="228" customHeight="1" x14ac:dyDescent="0.3">
      <c r="A192" s="11" t="s">
        <v>695</v>
      </c>
      <c r="B192" s="12" t="s">
        <v>694</v>
      </c>
      <c r="C192" s="12">
        <v>200</v>
      </c>
      <c r="D192" s="5">
        <f>4198856.4+2568540.6</f>
        <v>6767397</v>
      </c>
    </row>
    <row r="193" spans="1:4" ht="32.25" customHeight="1" x14ac:dyDescent="0.3">
      <c r="A193" s="24" t="s">
        <v>249</v>
      </c>
      <c r="B193" s="19" t="s">
        <v>250</v>
      </c>
      <c r="C193" s="12"/>
      <c r="D193" s="14">
        <f t="shared" ref="D193" si="16">D194</f>
        <v>48052</v>
      </c>
    </row>
    <row r="194" spans="1:4" ht="54.75" customHeight="1" x14ac:dyDescent="0.3">
      <c r="A194" s="11" t="s">
        <v>251</v>
      </c>
      <c r="B194" s="12" t="s">
        <v>252</v>
      </c>
      <c r="C194" s="12">
        <v>800</v>
      </c>
      <c r="D194" s="5">
        <f>500000-49948-20000-300000-82000</f>
        <v>48052</v>
      </c>
    </row>
    <row r="195" spans="1:4" ht="134.25" customHeight="1" x14ac:dyDescent="0.3">
      <c r="A195" s="21" t="s">
        <v>511</v>
      </c>
      <c r="B195" s="19" t="s">
        <v>509</v>
      </c>
      <c r="C195" s="19"/>
      <c r="D195" s="14">
        <f>D196</f>
        <v>18000</v>
      </c>
    </row>
    <row r="196" spans="1:4" ht="123.75" customHeight="1" x14ac:dyDescent="0.3">
      <c r="A196" s="11" t="s">
        <v>512</v>
      </c>
      <c r="B196" s="12" t="s">
        <v>510</v>
      </c>
      <c r="C196" s="12">
        <v>200</v>
      </c>
      <c r="D196" s="5">
        <v>18000</v>
      </c>
    </row>
    <row r="197" spans="1:4" ht="69" customHeight="1" x14ac:dyDescent="0.3">
      <c r="A197" s="25" t="s">
        <v>253</v>
      </c>
      <c r="B197" s="17" t="s">
        <v>254</v>
      </c>
      <c r="C197" s="12"/>
      <c r="D197" s="13">
        <f t="shared" ref="D197" si="17">D198</f>
        <v>1223341.94</v>
      </c>
    </row>
    <row r="198" spans="1:4" ht="51.75" customHeight="1" x14ac:dyDescent="0.3">
      <c r="A198" s="21" t="s">
        <v>255</v>
      </c>
      <c r="B198" s="19" t="s">
        <v>256</v>
      </c>
      <c r="C198" s="12"/>
      <c r="D198" s="14">
        <f>SUM(D199:D200)</f>
        <v>1223341.94</v>
      </c>
    </row>
    <row r="199" spans="1:4" ht="99" customHeight="1" x14ac:dyDescent="0.3">
      <c r="A199" s="11" t="s">
        <v>514</v>
      </c>
      <c r="B199" s="12" t="s">
        <v>513</v>
      </c>
      <c r="C199" s="12">
        <v>500</v>
      </c>
      <c r="D199" s="5">
        <v>570621.41</v>
      </c>
    </row>
    <row r="200" spans="1:4" s="3" customFormat="1" ht="107.25" customHeight="1" x14ac:dyDescent="0.3">
      <c r="A200" s="11" t="s">
        <v>334</v>
      </c>
      <c r="B200" s="12" t="s">
        <v>257</v>
      </c>
      <c r="C200" s="12">
        <v>200</v>
      </c>
      <c r="D200" s="5">
        <f>500000-65225.75-29000-2974.39+249982.59-61.92</f>
        <v>652720.52999999991</v>
      </c>
    </row>
    <row r="201" spans="1:4" s="3" customFormat="1" ht="88.5" customHeight="1" x14ac:dyDescent="0.3">
      <c r="A201" s="23" t="s">
        <v>371</v>
      </c>
      <c r="B201" s="17" t="s">
        <v>366</v>
      </c>
      <c r="C201" s="17"/>
      <c r="D201" s="13">
        <f t="shared" ref="D201" si="18">D202</f>
        <v>3783740.9499999993</v>
      </c>
    </row>
    <row r="202" spans="1:4" s="3" customFormat="1" ht="84.75" customHeight="1" x14ac:dyDescent="0.3">
      <c r="A202" s="21" t="s">
        <v>372</v>
      </c>
      <c r="B202" s="19" t="s">
        <v>367</v>
      </c>
      <c r="C202" s="19"/>
      <c r="D202" s="14">
        <f>SUM(D203:D207)</f>
        <v>3783740.9499999993</v>
      </c>
    </row>
    <row r="203" spans="1:4" s="3" customFormat="1" ht="138.75" customHeight="1" x14ac:dyDescent="0.3">
      <c r="A203" s="11" t="s">
        <v>730</v>
      </c>
      <c r="B203" s="12" t="s">
        <v>732</v>
      </c>
      <c r="C203" s="12">
        <v>400</v>
      </c>
      <c r="D203" s="5">
        <v>79460.7</v>
      </c>
    </row>
    <row r="204" spans="1:4" s="3" customFormat="1" ht="129.75" customHeight="1" x14ac:dyDescent="0.3">
      <c r="A204" s="11" t="s">
        <v>731</v>
      </c>
      <c r="B204" s="12" t="s">
        <v>732</v>
      </c>
      <c r="C204" s="12">
        <v>800</v>
      </c>
      <c r="D204" s="5">
        <f>11146+1915.76</f>
        <v>13061.76</v>
      </c>
    </row>
    <row r="205" spans="1:4" s="3" customFormat="1" ht="137.25" customHeight="1" x14ac:dyDescent="0.3">
      <c r="A205" s="11" t="s">
        <v>733</v>
      </c>
      <c r="B205" s="12" t="s">
        <v>735</v>
      </c>
      <c r="C205" s="12">
        <v>400</v>
      </c>
      <c r="D205" s="5">
        <v>77052.800000000003</v>
      </c>
    </row>
    <row r="206" spans="1:4" s="3" customFormat="1" ht="129.75" customHeight="1" x14ac:dyDescent="0.3">
      <c r="A206" s="11" t="s">
        <v>734</v>
      </c>
      <c r="B206" s="12" t="s">
        <v>735</v>
      </c>
      <c r="C206" s="12">
        <v>800</v>
      </c>
      <c r="D206" s="5">
        <f>11146+2307.62</f>
        <v>13453.619999999999</v>
      </c>
    </row>
    <row r="207" spans="1:4" s="3" customFormat="1" ht="109.5" customHeight="1" x14ac:dyDescent="0.3">
      <c r="A207" s="11" t="s">
        <v>373</v>
      </c>
      <c r="B207" s="12" t="s">
        <v>368</v>
      </c>
      <c r="C207" s="12">
        <v>400</v>
      </c>
      <c r="D207" s="5">
        <f>6609556.8-944222.4-2064622.33</f>
        <v>3600712.0699999994</v>
      </c>
    </row>
    <row r="208" spans="1:4" ht="69" customHeight="1" x14ac:dyDescent="0.3">
      <c r="A208" s="16" t="s">
        <v>198</v>
      </c>
      <c r="B208" s="17" t="s">
        <v>49</v>
      </c>
      <c r="C208" s="17"/>
      <c r="D208" s="13">
        <f>D209+D220+D226+D230+D233+D236+D240+D237</f>
        <v>29525048.219999999</v>
      </c>
    </row>
    <row r="209" spans="1:5" ht="46.5" customHeight="1" x14ac:dyDescent="0.3">
      <c r="A209" s="16" t="s">
        <v>199</v>
      </c>
      <c r="B209" s="17" t="s">
        <v>50</v>
      </c>
      <c r="C209" s="17"/>
      <c r="D209" s="13">
        <f>D210+D217</f>
        <v>21854568.210000001</v>
      </c>
    </row>
    <row r="210" spans="1:5" s="4" customFormat="1" ht="47.25" customHeight="1" x14ac:dyDescent="0.3">
      <c r="A210" s="18" t="s">
        <v>52</v>
      </c>
      <c r="B210" s="19" t="s">
        <v>51</v>
      </c>
      <c r="C210" s="19"/>
      <c r="D210" s="14">
        <f>SUM(D211:D216)</f>
        <v>16033702.549999999</v>
      </c>
    </row>
    <row r="211" spans="1:5" s="3" customFormat="1" ht="118.5" customHeight="1" x14ac:dyDescent="0.3">
      <c r="A211" s="20" t="s">
        <v>135</v>
      </c>
      <c r="B211" s="12" t="s">
        <v>53</v>
      </c>
      <c r="C211" s="12">
        <v>100</v>
      </c>
      <c r="D211" s="5">
        <f>10859594.3+248098.62+82108.95+250022.36+14871.81</f>
        <v>11454696.039999999</v>
      </c>
      <c r="E211" s="34"/>
    </row>
    <row r="212" spans="1:5" ht="87" customHeight="1" x14ac:dyDescent="0.3">
      <c r="A212" s="20" t="s">
        <v>151</v>
      </c>
      <c r="B212" s="12" t="s">
        <v>53</v>
      </c>
      <c r="C212" s="12">
        <v>200</v>
      </c>
      <c r="D212" s="5">
        <f>2218822.23+95133.96+15014.39+50000+590902.49+280000+302598.29</f>
        <v>3552471.3600000003</v>
      </c>
    </row>
    <row r="213" spans="1:5" s="3" customFormat="1" ht="67.5" customHeight="1" x14ac:dyDescent="0.3">
      <c r="A213" s="20" t="s">
        <v>148</v>
      </c>
      <c r="B213" s="12" t="s">
        <v>53</v>
      </c>
      <c r="C213" s="12">
        <v>800</v>
      </c>
      <c r="D213" s="5">
        <v>13600</v>
      </c>
    </row>
    <row r="214" spans="1:5" ht="148.5" customHeight="1" x14ac:dyDescent="0.3">
      <c r="A214" s="20" t="s">
        <v>136</v>
      </c>
      <c r="B214" s="12" t="s">
        <v>54</v>
      </c>
      <c r="C214" s="12">
        <v>100</v>
      </c>
      <c r="D214" s="5">
        <v>456267.15</v>
      </c>
      <c r="E214" s="35"/>
    </row>
    <row r="215" spans="1:5" ht="102.75" customHeight="1" x14ac:dyDescent="0.3">
      <c r="A215" s="20" t="s">
        <v>152</v>
      </c>
      <c r="B215" s="12" t="s">
        <v>54</v>
      </c>
      <c r="C215" s="12">
        <v>200</v>
      </c>
      <c r="D215" s="5">
        <f>363668-7000</f>
        <v>356668</v>
      </c>
    </row>
    <row r="216" spans="1:5" ht="83.25" customHeight="1" x14ac:dyDescent="0.3">
      <c r="A216" s="20" t="s">
        <v>516</v>
      </c>
      <c r="B216" s="12" t="s">
        <v>515</v>
      </c>
      <c r="C216" s="12">
        <v>200</v>
      </c>
      <c r="D216" s="5">
        <v>200000</v>
      </c>
    </row>
    <row r="217" spans="1:5" ht="66.75" customHeight="1" x14ac:dyDescent="0.3">
      <c r="A217" s="18" t="s">
        <v>517</v>
      </c>
      <c r="B217" s="19" t="s">
        <v>518</v>
      </c>
      <c r="C217" s="12"/>
      <c r="D217" s="14">
        <f>SUM(D218:D219)</f>
        <v>5820865.6600000001</v>
      </c>
    </row>
    <row r="218" spans="1:5" ht="163.5" customHeight="1" x14ac:dyDescent="0.3">
      <c r="A218" s="20" t="s">
        <v>566</v>
      </c>
      <c r="B218" s="12" t="s">
        <v>565</v>
      </c>
      <c r="C218" s="12">
        <v>100</v>
      </c>
      <c r="D218" s="5">
        <f>5640876+121781</f>
        <v>5762657</v>
      </c>
    </row>
    <row r="219" spans="1:5" ht="173.25" customHeight="1" x14ac:dyDescent="0.3">
      <c r="A219" s="20" t="s">
        <v>627</v>
      </c>
      <c r="B219" s="12" t="s">
        <v>519</v>
      </c>
      <c r="C219" s="12">
        <v>100</v>
      </c>
      <c r="D219" s="5">
        <f>50000+7000+1208.66</f>
        <v>58208.66</v>
      </c>
    </row>
    <row r="220" spans="1:5" ht="50.25" customHeight="1" x14ac:dyDescent="0.3">
      <c r="A220" s="16" t="s">
        <v>56</v>
      </c>
      <c r="B220" s="17" t="s">
        <v>55</v>
      </c>
      <c r="C220" s="17"/>
      <c r="D220" s="13">
        <f>D221+D223</f>
        <v>5847145.9399999995</v>
      </c>
    </row>
    <row r="221" spans="1:5" s="4" customFormat="1" ht="51.75" customHeight="1" x14ac:dyDescent="0.3">
      <c r="A221" s="18" t="s">
        <v>58</v>
      </c>
      <c r="B221" s="19" t="s">
        <v>57</v>
      </c>
      <c r="C221" s="19"/>
      <c r="D221" s="14">
        <f>D222</f>
        <v>4708078.26</v>
      </c>
    </row>
    <row r="222" spans="1:5" s="3" customFormat="1" ht="84" customHeight="1" x14ac:dyDescent="0.3">
      <c r="A222" s="20" t="s">
        <v>146</v>
      </c>
      <c r="B222" s="12" t="s">
        <v>59</v>
      </c>
      <c r="C222" s="12">
        <v>600</v>
      </c>
      <c r="D222" s="5">
        <f>4061599.32+33509.42+351000+110732.64+11090.04+27850.59+14947.29+77748.96+19600</f>
        <v>4708078.26</v>
      </c>
    </row>
    <row r="223" spans="1:5" s="3" customFormat="1" ht="46.5" customHeight="1" x14ac:dyDescent="0.3">
      <c r="A223" s="18" t="s">
        <v>520</v>
      </c>
      <c r="B223" s="19" t="s">
        <v>521</v>
      </c>
      <c r="C223" s="19"/>
      <c r="D223" s="14">
        <f>SUM(D224:D225)</f>
        <v>1139067.68</v>
      </c>
    </row>
    <row r="224" spans="1:5" s="3" customFormat="1" ht="154.5" customHeight="1" x14ac:dyDescent="0.3">
      <c r="A224" s="20" t="s">
        <v>568</v>
      </c>
      <c r="B224" s="12" t="s">
        <v>567</v>
      </c>
      <c r="C224" s="12">
        <v>600</v>
      </c>
      <c r="D224" s="5">
        <f>1385478-257801</f>
        <v>1127677</v>
      </c>
    </row>
    <row r="225" spans="1:4" s="3" customFormat="1" ht="154.5" customHeight="1" x14ac:dyDescent="0.3">
      <c r="A225" s="20" t="s">
        <v>522</v>
      </c>
      <c r="B225" s="12" t="s">
        <v>523</v>
      </c>
      <c r="C225" s="12">
        <v>600</v>
      </c>
      <c r="D225" s="5">
        <f>77341.47-65950.79</f>
        <v>11390.680000000008</v>
      </c>
    </row>
    <row r="226" spans="1:4" ht="48" customHeight="1" x14ac:dyDescent="0.3">
      <c r="A226" s="16" t="s">
        <v>361</v>
      </c>
      <c r="B226" s="17" t="s">
        <v>60</v>
      </c>
      <c r="C226" s="17"/>
      <c r="D226" s="13">
        <f t="shared" ref="D226" si="19">D227</f>
        <v>323381.82</v>
      </c>
    </row>
    <row r="227" spans="1:4" s="4" customFormat="1" ht="51.75" customHeight="1" x14ac:dyDescent="0.3">
      <c r="A227" s="18" t="s">
        <v>62</v>
      </c>
      <c r="B227" s="19" t="s">
        <v>61</v>
      </c>
      <c r="C227" s="19"/>
      <c r="D227" s="14">
        <f>SUM(D228:D229)</f>
        <v>323381.82</v>
      </c>
    </row>
    <row r="228" spans="1:4" s="3" customFormat="1" ht="120" customHeight="1" x14ac:dyDescent="0.3">
      <c r="A228" s="20" t="s">
        <v>374</v>
      </c>
      <c r="B228" s="12" t="s">
        <v>63</v>
      </c>
      <c r="C228" s="12">
        <v>200</v>
      </c>
      <c r="D228" s="5">
        <v>220000</v>
      </c>
    </row>
    <row r="229" spans="1:4" s="3" customFormat="1" ht="112.5" x14ac:dyDescent="0.3">
      <c r="A229" s="20" t="s">
        <v>654</v>
      </c>
      <c r="B229" s="12" t="s">
        <v>643</v>
      </c>
      <c r="C229" s="12">
        <v>200</v>
      </c>
      <c r="D229" s="5">
        <f>102348+1033.82</f>
        <v>103381.82</v>
      </c>
    </row>
    <row r="230" spans="1:4" ht="47.25" customHeight="1" x14ac:dyDescent="0.3">
      <c r="A230" s="16" t="s">
        <v>169</v>
      </c>
      <c r="B230" s="17" t="s">
        <v>64</v>
      </c>
      <c r="C230" s="17"/>
      <c r="D230" s="13">
        <f t="shared" ref="D230" si="20">D231</f>
        <v>50000</v>
      </c>
    </row>
    <row r="231" spans="1:4" ht="45" customHeight="1" x14ac:dyDescent="0.3">
      <c r="A231" s="18" t="s">
        <v>200</v>
      </c>
      <c r="B231" s="19" t="s">
        <v>65</v>
      </c>
      <c r="C231" s="19"/>
      <c r="D231" s="14">
        <f t="shared" ref="D231" si="21">SUM(D232:D232)</f>
        <v>50000</v>
      </c>
    </row>
    <row r="232" spans="1:4" ht="87" customHeight="1" x14ac:dyDescent="0.3">
      <c r="A232" s="20" t="s">
        <v>170</v>
      </c>
      <c r="B232" s="12" t="s">
        <v>66</v>
      </c>
      <c r="C232" s="12">
        <v>200</v>
      </c>
      <c r="D232" s="5">
        <v>50000</v>
      </c>
    </row>
    <row r="233" spans="1:4" s="3" customFormat="1" ht="74.25" customHeight="1" x14ac:dyDescent="0.3">
      <c r="A233" s="16" t="s">
        <v>336</v>
      </c>
      <c r="B233" s="17" t="s">
        <v>67</v>
      </c>
      <c r="C233" s="17"/>
      <c r="D233" s="13">
        <f t="shared" ref="D233:D234" si="22">D234</f>
        <v>493112</v>
      </c>
    </row>
    <row r="234" spans="1:4" ht="65.25" customHeight="1" x14ac:dyDescent="0.3">
      <c r="A234" s="18" t="s">
        <v>69</v>
      </c>
      <c r="B234" s="19" t="s">
        <v>68</v>
      </c>
      <c r="C234" s="19"/>
      <c r="D234" s="14">
        <f t="shared" si="22"/>
        <v>493112</v>
      </c>
    </row>
    <row r="235" spans="1:4" s="4" customFormat="1" ht="71.25" customHeight="1" x14ac:dyDescent="0.3">
      <c r="A235" s="20" t="s">
        <v>153</v>
      </c>
      <c r="B235" s="12" t="s">
        <v>70</v>
      </c>
      <c r="C235" s="12">
        <v>200</v>
      </c>
      <c r="D235" s="5">
        <f>50000+443112</f>
        <v>493112</v>
      </c>
    </row>
    <row r="236" spans="1:4" s="3" customFormat="1" ht="68.25" hidden="1" customHeight="1" x14ac:dyDescent="0.3">
      <c r="A236" s="16" t="s">
        <v>400</v>
      </c>
      <c r="B236" s="17" t="s">
        <v>71</v>
      </c>
      <c r="C236" s="17"/>
      <c r="D236" s="13">
        <v>0</v>
      </c>
    </row>
    <row r="237" spans="1:4" s="3" customFormat="1" ht="68.25" customHeight="1" x14ac:dyDescent="0.3">
      <c r="A237" s="16" t="s">
        <v>583</v>
      </c>
      <c r="B237" s="17" t="s">
        <v>71</v>
      </c>
      <c r="C237" s="17"/>
      <c r="D237" s="13">
        <f>D238</f>
        <v>505050.51</v>
      </c>
    </row>
    <row r="238" spans="1:4" s="3" customFormat="1" ht="68.25" customHeight="1" x14ac:dyDescent="0.3">
      <c r="A238" s="18" t="s">
        <v>584</v>
      </c>
      <c r="B238" s="19" t="s">
        <v>585</v>
      </c>
      <c r="C238" s="17"/>
      <c r="D238" s="13">
        <f>D239</f>
        <v>505050.51</v>
      </c>
    </row>
    <row r="239" spans="1:4" s="3" customFormat="1" ht="97.5" customHeight="1" x14ac:dyDescent="0.3">
      <c r="A239" s="20" t="s">
        <v>586</v>
      </c>
      <c r="B239" s="12" t="s">
        <v>587</v>
      </c>
      <c r="C239" s="12">
        <v>200</v>
      </c>
      <c r="D239" s="5">
        <f>500000+5050.51+590902.49-590902.49</f>
        <v>505050.51</v>
      </c>
    </row>
    <row r="240" spans="1:4" s="3" customFormat="1" ht="73.5" customHeight="1" x14ac:dyDescent="0.3">
      <c r="A240" s="23" t="s">
        <v>364</v>
      </c>
      <c r="B240" s="17" t="s">
        <v>258</v>
      </c>
      <c r="C240" s="12"/>
      <c r="D240" s="13">
        <f>D241+D243</f>
        <v>451789.74</v>
      </c>
    </row>
    <row r="241" spans="1:4" ht="48" customHeight="1" x14ac:dyDescent="0.3">
      <c r="A241" s="21" t="s">
        <v>259</v>
      </c>
      <c r="B241" s="19" t="s">
        <v>260</v>
      </c>
      <c r="C241" s="12"/>
      <c r="D241" s="14">
        <f>D242</f>
        <v>180840</v>
      </c>
    </row>
    <row r="242" spans="1:4" ht="75" customHeight="1" x14ac:dyDescent="0.3">
      <c r="A242" s="11" t="s">
        <v>420</v>
      </c>
      <c r="B242" s="12" t="s">
        <v>261</v>
      </c>
      <c r="C242" s="12">
        <v>200</v>
      </c>
      <c r="D242" s="5">
        <f>210000+32000-61160</f>
        <v>180840</v>
      </c>
    </row>
    <row r="243" spans="1:4" s="3" customFormat="1" ht="49.5" customHeight="1" x14ac:dyDescent="0.3">
      <c r="A243" s="21" t="s">
        <v>262</v>
      </c>
      <c r="B243" s="19" t="s">
        <v>263</v>
      </c>
      <c r="C243" s="12"/>
      <c r="D243" s="14">
        <f t="shared" ref="D243" si="23">SUM(D244:D244)</f>
        <v>270949.74</v>
      </c>
    </row>
    <row r="244" spans="1:4" ht="56.25" x14ac:dyDescent="0.3">
      <c r="A244" s="11" t="s">
        <v>264</v>
      </c>
      <c r="B244" s="12" t="s">
        <v>265</v>
      </c>
      <c r="C244" s="12">
        <v>600</v>
      </c>
      <c r="D244" s="5">
        <f>6000+100000+164949.74</f>
        <v>270949.74</v>
      </c>
    </row>
    <row r="245" spans="1:4" ht="105.75" customHeight="1" x14ac:dyDescent="0.3">
      <c r="A245" s="16" t="s">
        <v>266</v>
      </c>
      <c r="B245" s="17" t="s">
        <v>72</v>
      </c>
      <c r="C245" s="17"/>
      <c r="D245" s="13">
        <f>D246+D252+D262</f>
        <v>4195717.0500000007</v>
      </c>
    </row>
    <row r="246" spans="1:4" ht="49.5" customHeight="1" x14ac:dyDescent="0.3">
      <c r="A246" s="16" t="s">
        <v>201</v>
      </c>
      <c r="B246" s="17" t="s">
        <v>73</v>
      </c>
      <c r="C246" s="17"/>
      <c r="D246" s="13">
        <f t="shared" ref="D246" si="24">D247</f>
        <v>57750</v>
      </c>
    </row>
    <row r="247" spans="1:4" s="4" customFormat="1" ht="66.75" customHeight="1" x14ac:dyDescent="0.3">
      <c r="A247" s="21" t="s">
        <v>267</v>
      </c>
      <c r="B247" s="19" t="s">
        <v>268</v>
      </c>
      <c r="C247" s="19"/>
      <c r="D247" s="14">
        <f>SUM(D248:D251)</f>
        <v>57750</v>
      </c>
    </row>
    <row r="248" spans="1:4" s="3" customFormat="1" ht="104.25" customHeight="1" x14ac:dyDescent="0.3">
      <c r="A248" s="20" t="s">
        <v>607</v>
      </c>
      <c r="B248" s="12" t="s">
        <v>269</v>
      </c>
      <c r="C248" s="12">
        <v>600</v>
      </c>
      <c r="D248" s="5">
        <v>18800</v>
      </c>
    </row>
    <row r="249" spans="1:4" ht="105.75" customHeight="1" x14ac:dyDescent="0.3">
      <c r="A249" s="20" t="s">
        <v>154</v>
      </c>
      <c r="B249" s="12" t="s">
        <v>270</v>
      </c>
      <c r="C249" s="12">
        <v>200</v>
      </c>
      <c r="D249" s="5">
        <v>4300</v>
      </c>
    </row>
    <row r="250" spans="1:4" ht="92.25" customHeight="1" x14ac:dyDescent="0.3">
      <c r="A250" s="20" t="s">
        <v>202</v>
      </c>
      <c r="B250" s="12" t="s">
        <v>271</v>
      </c>
      <c r="C250" s="12">
        <v>200</v>
      </c>
      <c r="D250" s="5">
        <f>104800-80150</f>
        <v>24650</v>
      </c>
    </row>
    <row r="251" spans="1:4" ht="92.25" customHeight="1" x14ac:dyDescent="0.3">
      <c r="A251" s="20" t="s">
        <v>525</v>
      </c>
      <c r="B251" s="12" t="s">
        <v>524</v>
      </c>
      <c r="C251" s="12">
        <v>200</v>
      </c>
      <c r="D251" s="5">
        <v>10000</v>
      </c>
    </row>
    <row r="252" spans="1:4" s="4" customFormat="1" ht="37.5" x14ac:dyDescent="0.3">
      <c r="A252" s="16" t="s">
        <v>203</v>
      </c>
      <c r="B252" s="17" t="s">
        <v>74</v>
      </c>
      <c r="C252" s="17"/>
      <c r="D252" s="13">
        <f>D253+D260</f>
        <v>3924055.0500000007</v>
      </c>
    </row>
    <row r="253" spans="1:4" s="3" customFormat="1" ht="66" customHeight="1" x14ac:dyDescent="0.3">
      <c r="A253" s="21" t="s">
        <v>272</v>
      </c>
      <c r="B253" s="19" t="s">
        <v>273</v>
      </c>
      <c r="C253" s="19"/>
      <c r="D253" s="14">
        <f>SUM(D254:D259)</f>
        <v>3324975.0500000007</v>
      </c>
    </row>
    <row r="254" spans="1:4" ht="75" x14ac:dyDescent="0.3">
      <c r="A254" s="20" t="s">
        <v>324</v>
      </c>
      <c r="B254" s="12" t="s">
        <v>274</v>
      </c>
      <c r="C254" s="12">
        <v>200</v>
      </c>
      <c r="D254" s="5">
        <f>100000+69502+118000+73160+80150-106000+193588</f>
        <v>528400</v>
      </c>
    </row>
    <row r="255" spans="1:4" ht="56.25" x14ac:dyDescent="0.3">
      <c r="A255" s="20" t="s">
        <v>421</v>
      </c>
      <c r="B255" s="12" t="s">
        <v>274</v>
      </c>
      <c r="C255" s="12">
        <v>800</v>
      </c>
      <c r="D255" s="5">
        <f>30000+8000</f>
        <v>38000</v>
      </c>
    </row>
    <row r="256" spans="1:4" ht="75" x14ac:dyDescent="0.3">
      <c r="A256" s="11" t="s">
        <v>335</v>
      </c>
      <c r="B256" s="12" t="s">
        <v>325</v>
      </c>
      <c r="C256" s="12">
        <v>600</v>
      </c>
      <c r="D256" s="5">
        <v>190700</v>
      </c>
    </row>
    <row r="257" spans="1:4" ht="119.25" customHeight="1" x14ac:dyDescent="0.3">
      <c r="A257" s="11" t="s">
        <v>441</v>
      </c>
      <c r="B257" s="12" t="s">
        <v>440</v>
      </c>
      <c r="C257" s="12">
        <v>100</v>
      </c>
      <c r="D257" s="5">
        <f>2367633.81+38664.72+12796.2-231470.68+18769.37+72637.49+31648.4+22760.49</f>
        <v>2333439.8000000007</v>
      </c>
    </row>
    <row r="258" spans="1:4" ht="75" x14ac:dyDescent="0.3">
      <c r="A258" s="11" t="s">
        <v>526</v>
      </c>
      <c r="B258" s="12" t="s">
        <v>440</v>
      </c>
      <c r="C258" s="12">
        <v>200</v>
      </c>
      <c r="D258" s="5">
        <f>200000+437.25-69502+90000+12000</f>
        <v>232935.25</v>
      </c>
    </row>
    <row r="259" spans="1:4" ht="56.25" x14ac:dyDescent="0.3">
      <c r="A259" s="11" t="s">
        <v>527</v>
      </c>
      <c r="B259" s="12" t="s">
        <v>440</v>
      </c>
      <c r="C259" s="12">
        <v>800</v>
      </c>
      <c r="D259" s="5">
        <v>1500</v>
      </c>
    </row>
    <row r="260" spans="1:4" ht="44.25" customHeight="1" x14ac:dyDescent="0.3">
      <c r="A260" s="21" t="s">
        <v>630</v>
      </c>
      <c r="B260" s="19" t="s">
        <v>628</v>
      </c>
      <c r="C260" s="19"/>
      <c r="D260" s="14">
        <f>D261</f>
        <v>599080</v>
      </c>
    </row>
    <row r="261" spans="1:4" ht="93.75" x14ac:dyDescent="0.3">
      <c r="A261" s="11" t="s">
        <v>631</v>
      </c>
      <c r="B261" s="12" t="s">
        <v>629</v>
      </c>
      <c r="C261" s="12">
        <v>200</v>
      </c>
      <c r="D261" s="5">
        <f>516585+82495</f>
        <v>599080</v>
      </c>
    </row>
    <row r="262" spans="1:4" s="3" customFormat="1" ht="71.25" customHeight="1" x14ac:dyDescent="0.3">
      <c r="A262" s="23" t="s">
        <v>275</v>
      </c>
      <c r="B262" s="17" t="s">
        <v>276</v>
      </c>
      <c r="C262" s="12"/>
      <c r="D262" s="13">
        <f t="shared" ref="D262" si="25">D263</f>
        <v>213912</v>
      </c>
    </row>
    <row r="263" spans="1:4" ht="66" customHeight="1" x14ac:dyDescent="0.3">
      <c r="A263" s="21" t="s">
        <v>277</v>
      </c>
      <c r="B263" s="19" t="s">
        <v>278</v>
      </c>
      <c r="C263" s="12"/>
      <c r="D263" s="14">
        <f>SUM(D264:D267)</f>
        <v>213912</v>
      </c>
    </row>
    <row r="264" spans="1:4" s="3" customFormat="1" ht="68.25" customHeight="1" x14ac:dyDescent="0.3">
      <c r="A264" s="11" t="s">
        <v>279</v>
      </c>
      <c r="B264" s="12" t="s">
        <v>280</v>
      </c>
      <c r="C264" s="12">
        <v>200</v>
      </c>
      <c r="D264" s="5">
        <v>10000</v>
      </c>
    </row>
    <row r="265" spans="1:4" ht="63.75" customHeight="1" x14ac:dyDescent="0.3">
      <c r="A265" s="11" t="s">
        <v>155</v>
      </c>
      <c r="B265" s="12" t="s">
        <v>281</v>
      </c>
      <c r="C265" s="12">
        <v>200</v>
      </c>
      <c r="D265" s="5">
        <v>10000</v>
      </c>
    </row>
    <row r="266" spans="1:4" ht="85.5" customHeight="1" x14ac:dyDescent="0.3">
      <c r="A266" s="11" t="s">
        <v>282</v>
      </c>
      <c r="B266" s="12" t="s">
        <v>283</v>
      </c>
      <c r="C266" s="12">
        <v>200</v>
      </c>
      <c r="D266" s="5">
        <f>81000+168500+106000-205588</f>
        <v>149912</v>
      </c>
    </row>
    <row r="267" spans="1:4" ht="93.75" x14ac:dyDescent="0.3">
      <c r="A267" s="11" t="s">
        <v>422</v>
      </c>
      <c r="B267" s="12" t="s">
        <v>284</v>
      </c>
      <c r="C267" s="12">
        <v>600</v>
      </c>
      <c r="D267" s="5">
        <v>44000</v>
      </c>
    </row>
    <row r="268" spans="1:4" s="4" customFormat="1" ht="66" customHeight="1" x14ac:dyDescent="0.3">
      <c r="A268" s="16" t="s">
        <v>204</v>
      </c>
      <c r="B268" s="17" t="s">
        <v>75</v>
      </c>
      <c r="C268" s="17"/>
      <c r="D268" s="13">
        <f>D269+D275+D278+D283</f>
        <v>2106000.12</v>
      </c>
    </row>
    <row r="269" spans="1:4" s="3" customFormat="1" ht="49.5" customHeight="1" x14ac:dyDescent="0.3">
      <c r="A269" s="16" t="s">
        <v>205</v>
      </c>
      <c r="B269" s="17" t="s">
        <v>76</v>
      </c>
      <c r="C269" s="17"/>
      <c r="D269" s="13">
        <f t="shared" ref="D269" si="26">D270</f>
        <v>135000</v>
      </c>
    </row>
    <row r="270" spans="1:4" ht="49.5" customHeight="1" x14ac:dyDescent="0.3">
      <c r="A270" s="18" t="s">
        <v>206</v>
      </c>
      <c r="B270" s="19" t="s">
        <v>77</v>
      </c>
      <c r="C270" s="19"/>
      <c r="D270" s="14">
        <f t="shared" ref="D270" si="27">SUM(D271:D274)</f>
        <v>135000</v>
      </c>
    </row>
    <row r="271" spans="1:4" s="4" customFormat="1" ht="93.75" x14ac:dyDescent="0.3">
      <c r="A271" s="11" t="s">
        <v>285</v>
      </c>
      <c r="B271" s="12" t="s">
        <v>78</v>
      </c>
      <c r="C271" s="12">
        <v>800</v>
      </c>
      <c r="D271" s="5">
        <v>45000</v>
      </c>
    </row>
    <row r="272" spans="1:4" s="4" customFormat="1" ht="104.25" customHeight="1" x14ac:dyDescent="0.3">
      <c r="A272" s="11" t="s">
        <v>286</v>
      </c>
      <c r="B272" s="12" t="s">
        <v>79</v>
      </c>
      <c r="C272" s="12">
        <v>800</v>
      </c>
      <c r="D272" s="5">
        <v>45000</v>
      </c>
    </row>
    <row r="273" spans="1:4" s="3" customFormat="1" ht="105.75" customHeight="1" x14ac:dyDescent="0.3">
      <c r="A273" s="11" t="s">
        <v>287</v>
      </c>
      <c r="B273" s="12" t="s">
        <v>288</v>
      </c>
      <c r="C273" s="12">
        <v>800</v>
      </c>
      <c r="D273" s="5">
        <v>20000</v>
      </c>
    </row>
    <row r="274" spans="1:4" ht="84" customHeight="1" x14ac:dyDescent="0.3">
      <c r="A274" s="11" t="s">
        <v>289</v>
      </c>
      <c r="B274" s="12" t="s">
        <v>290</v>
      </c>
      <c r="C274" s="12">
        <v>800</v>
      </c>
      <c r="D274" s="5">
        <v>25000</v>
      </c>
    </row>
    <row r="275" spans="1:4" ht="56.25" x14ac:dyDescent="0.3">
      <c r="A275" s="16" t="s">
        <v>207</v>
      </c>
      <c r="B275" s="17" t="s">
        <v>80</v>
      </c>
      <c r="C275" s="17"/>
      <c r="D275" s="13">
        <f t="shared" ref="D275" si="28">D276</f>
        <v>260000</v>
      </c>
    </row>
    <row r="276" spans="1:4" s="3" customFormat="1" ht="52.5" customHeight="1" x14ac:dyDescent="0.3">
      <c r="A276" s="18" t="s">
        <v>208</v>
      </c>
      <c r="B276" s="19" t="s">
        <v>81</v>
      </c>
      <c r="C276" s="19"/>
      <c r="D276" s="14">
        <f>SUM(D277:D277)</f>
        <v>260000</v>
      </c>
    </row>
    <row r="277" spans="1:4" s="4" customFormat="1" ht="131.25" customHeight="1" x14ac:dyDescent="0.3">
      <c r="A277" s="11" t="s">
        <v>380</v>
      </c>
      <c r="B277" s="12" t="s">
        <v>379</v>
      </c>
      <c r="C277" s="12">
        <v>200</v>
      </c>
      <c r="D277" s="5">
        <f>210000+50000</f>
        <v>260000</v>
      </c>
    </row>
    <row r="278" spans="1:4" s="3" customFormat="1" ht="85.5" customHeight="1" x14ac:dyDescent="0.3">
      <c r="A278" s="16" t="s">
        <v>209</v>
      </c>
      <c r="B278" s="17" t="s">
        <v>82</v>
      </c>
      <c r="C278" s="17"/>
      <c r="D278" s="13">
        <f t="shared" ref="D278" si="29">D279</f>
        <v>192000.12</v>
      </c>
    </row>
    <row r="279" spans="1:4" ht="50.25" customHeight="1" x14ac:dyDescent="0.3">
      <c r="A279" s="18" t="s">
        <v>210</v>
      </c>
      <c r="B279" s="19" t="s">
        <v>83</v>
      </c>
      <c r="C279" s="19"/>
      <c r="D279" s="14">
        <f>SUM(D280:D282)</f>
        <v>192000.12</v>
      </c>
    </row>
    <row r="280" spans="1:4" ht="136.5" customHeight="1" x14ac:dyDescent="0.3">
      <c r="A280" s="20" t="s">
        <v>401</v>
      </c>
      <c r="B280" s="12" t="s">
        <v>291</v>
      </c>
      <c r="C280" s="12">
        <v>200</v>
      </c>
      <c r="D280" s="5">
        <f>154000-50000-11999.88-3000-4500</f>
        <v>84500.12</v>
      </c>
    </row>
    <row r="281" spans="1:4" ht="103.5" customHeight="1" x14ac:dyDescent="0.3">
      <c r="A281" s="20" t="s">
        <v>528</v>
      </c>
      <c r="B281" s="12" t="s">
        <v>574</v>
      </c>
      <c r="C281" s="12">
        <v>200</v>
      </c>
      <c r="D281" s="5">
        <f>100000+4500</f>
        <v>104500</v>
      </c>
    </row>
    <row r="282" spans="1:4" ht="103.5" customHeight="1" x14ac:dyDescent="0.3">
      <c r="A282" s="20" t="s">
        <v>712</v>
      </c>
      <c r="B282" s="12" t="s">
        <v>711</v>
      </c>
      <c r="C282" s="12">
        <v>200</v>
      </c>
      <c r="D282" s="5">
        <v>3000</v>
      </c>
    </row>
    <row r="283" spans="1:4" s="3" customFormat="1" ht="129.75" customHeight="1" x14ac:dyDescent="0.3">
      <c r="A283" s="23" t="s">
        <v>407</v>
      </c>
      <c r="B283" s="17" t="s">
        <v>408</v>
      </c>
      <c r="C283" s="12"/>
      <c r="D283" s="13">
        <f>D284+D287+D289</f>
        <v>1519000</v>
      </c>
    </row>
    <row r="284" spans="1:4" ht="102.75" customHeight="1" x14ac:dyDescent="0.3">
      <c r="A284" s="21" t="s">
        <v>397</v>
      </c>
      <c r="B284" s="19" t="s">
        <v>409</v>
      </c>
      <c r="C284" s="12"/>
      <c r="D284" s="14">
        <f>SUM(D285:D286)</f>
        <v>858999.99999999988</v>
      </c>
    </row>
    <row r="285" spans="1:4" ht="114" customHeight="1" x14ac:dyDescent="0.3">
      <c r="A285" s="11" t="s">
        <v>381</v>
      </c>
      <c r="B285" s="12" t="s">
        <v>410</v>
      </c>
      <c r="C285" s="12">
        <v>200</v>
      </c>
      <c r="D285" s="5">
        <f>200000+190000</f>
        <v>390000</v>
      </c>
    </row>
    <row r="286" spans="1:4" ht="88.5" customHeight="1" x14ac:dyDescent="0.3">
      <c r="A286" s="11" t="s">
        <v>714</v>
      </c>
      <c r="B286" s="12" t="s">
        <v>713</v>
      </c>
      <c r="C286" s="12">
        <v>200</v>
      </c>
      <c r="D286" s="5">
        <f>1187987.74+11999.88-730987.62</f>
        <v>468999.99999999988</v>
      </c>
    </row>
    <row r="287" spans="1:4" ht="88.5" customHeight="1" x14ac:dyDescent="0.3">
      <c r="A287" s="21" t="s">
        <v>699</v>
      </c>
      <c r="B287" s="19" t="s">
        <v>697</v>
      </c>
      <c r="C287" s="19"/>
      <c r="D287" s="14">
        <f>D288</f>
        <v>60000</v>
      </c>
    </row>
    <row r="288" spans="1:4" ht="133.5" customHeight="1" x14ac:dyDescent="0.3">
      <c r="A288" s="11" t="s">
        <v>700</v>
      </c>
      <c r="B288" s="12" t="s">
        <v>698</v>
      </c>
      <c r="C288" s="12">
        <v>200</v>
      </c>
      <c r="D288" s="5">
        <v>60000</v>
      </c>
    </row>
    <row r="289" spans="1:4" ht="68.25" customHeight="1" x14ac:dyDescent="0.3">
      <c r="A289" s="21" t="s">
        <v>717</v>
      </c>
      <c r="B289" s="19" t="s">
        <v>715</v>
      </c>
      <c r="C289" s="19"/>
      <c r="D289" s="14">
        <f>D290</f>
        <v>600000</v>
      </c>
    </row>
    <row r="290" spans="1:4" ht="115.5" customHeight="1" x14ac:dyDescent="0.3">
      <c r="A290" s="11" t="s">
        <v>718</v>
      </c>
      <c r="B290" s="12" t="s">
        <v>716</v>
      </c>
      <c r="C290" s="12">
        <v>200</v>
      </c>
      <c r="D290" s="5">
        <v>600000</v>
      </c>
    </row>
    <row r="291" spans="1:4" ht="83.25" customHeight="1" x14ac:dyDescent="0.3">
      <c r="A291" s="16" t="s">
        <v>402</v>
      </c>
      <c r="B291" s="17" t="s">
        <v>84</v>
      </c>
      <c r="C291" s="17"/>
      <c r="D291" s="13">
        <f t="shared" ref="D291:D292" si="30">D292</f>
        <v>110000</v>
      </c>
    </row>
    <row r="292" spans="1:4" s="4" customFormat="1" ht="66.75" customHeight="1" x14ac:dyDescent="0.3">
      <c r="A292" s="16" t="s">
        <v>211</v>
      </c>
      <c r="B292" s="17" t="s">
        <v>85</v>
      </c>
      <c r="C292" s="17"/>
      <c r="D292" s="13">
        <f t="shared" si="30"/>
        <v>110000</v>
      </c>
    </row>
    <row r="293" spans="1:4" s="4" customFormat="1" ht="65.25" customHeight="1" x14ac:dyDescent="0.3">
      <c r="A293" s="18" t="s">
        <v>212</v>
      </c>
      <c r="B293" s="19" t="s">
        <v>86</v>
      </c>
      <c r="C293" s="19"/>
      <c r="D293" s="14">
        <f>SUM(D294:D294)</f>
        <v>110000</v>
      </c>
    </row>
    <row r="294" spans="1:4" s="3" customFormat="1" ht="105.75" customHeight="1" x14ac:dyDescent="0.3">
      <c r="A294" s="20" t="s">
        <v>213</v>
      </c>
      <c r="B294" s="12" t="s">
        <v>87</v>
      </c>
      <c r="C294" s="12">
        <v>200</v>
      </c>
      <c r="D294" s="5">
        <f>50000+110000-50000</f>
        <v>110000</v>
      </c>
    </row>
    <row r="295" spans="1:4" ht="103.5" customHeight="1" x14ac:dyDescent="0.3">
      <c r="A295" s="16" t="s">
        <v>89</v>
      </c>
      <c r="B295" s="17" t="s">
        <v>88</v>
      </c>
      <c r="C295" s="17"/>
      <c r="D295" s="13">
        <f>D296+D303</f>
        <v>234800</v>
      </c>
    </row>
    <row r="296" spans="1:4" ht="85.5" customHeight="1" x14ac:dyDescent="0.3">
      <c r="A296" s="16" t="s">
        <v>159</v>
      </c>
      <c r="B296" s="17" t="s">
        <v>90</v>
      </c>
      <c r="C296" s="17"/>
      <c r="D296" s="13">
        <f>D297+D300</f>
        <v>80000</v>
      </c>
    </row>
    <row r="297" spans="1:4" ht="70.5" customHeight="1" x14ac:dyDescent="0.3">
      <c r="A297" s="18" t="s">
        <v>92</v>
      </c>
      <c r="B297" s="19" t="s">
        <v>91</v>
      </c>
      <c r="C297" s="19"/>
      <c r="D297" s="14">
        <f>SUM(D298:D299)</f>
        <v>20000</v>
      </c>
    </row>
    <row r="298" spans="1:4" s="4" customFormat="1" ht="102" customHeight="1" x14ac:dyDescent="0.3">
      <c r="A298" s="20" t="s">
        <v>156</v>
      </c>
      <c r="B298" s="12" t="s">
        <v>93</v>
      </c>
      <c r="C298" s="12">
        <v>200</v>
      </c>
      <c r="D298" s="5">
        <v>10000</v>
      </c>
    </row>
    <row r="299" spans="1:4" s="4" customFormat="1" ht="87.75" customHeight="1" x14ac:dyDescent="0.3">
      <c r="A299" s="20" t="s">
        <v>608</v>
      </c>
      <c r="B299" s="12" t="s">
        <v>94</v>
      </c>
      <c r="C299" s="12">
        <v>600</v>
      </c>
      <c r="D299" s="5">
        <v>10000</v>
      </c>
    </row>
    <row r="300" spans="1:4" ht="67.5" customHeight="1" x14ac:dyDescent="0.3">
      <c r="A300" s="18" t="s">
        <v>96</v>
      </c>
      <c r="B300" s="19" t="s">
        <v>95</v>
      </c>
      <c r="C300" s="19"/>
      <c r="D300" s="14">
        <f>SUM(D301:D302)</f>
        <v>60000</v>
      </c>
    </row>
    <row r="301" spans="1:4" ht="87" customHeight="1" x14ac:dyDescent="0.3">
      <c r="A301" s="20" t="s">
        <v>167</v>
      </c>
      <c r="B301" s="12" t="s">
        <v>97</v>
      </c>
      <c r="C301" s="12">
        <v>200</v>
      </c>
      <c r="D301" s="5">
        <v>30000</v>
      </c>
    </row>
    <row r="302" spans="1:4" ht="83.25" customHeight="1" x14ac:dyDescent="0.3">
      <c r="A302" s="20" t="s">
        <v>157</v>
      </c>
      <c r="B302" s="12" t="s">
        <v>98</v>
      </c>
      <c r="C302" s="12">
        <v>200</v>
      </c>
      <c r="D302" s="5">
        <f>10000+20000</f>
        <v>30000</v>
      </c>
    </row>
    <row r="303" spans="1:4" s="3" customFormat="1" ht="128.25" customHeight="1" x14ac:dyDescent="0.3">
      <c r="A303" s="16" t="s">
        <v>328</v>
      </c>
      <c r="B303" s="17" t="s">
        <v>99</v>
      </c>
      <c r="C303" s="17"/>
      <c r="D303" s="13">
        <f t="shared" ref="D303:D304" si="31">D304</f>
        <v>154800</v>
      </c>
    </row>
    <row r="304" spans="1:4" ht="70.5" customHeight="1" x14ac:dyDescent="0.3">
      <c r="A304" s="18" t="s">
        <v>329</v>
      </c>
      <c r="B304" s="19" t="s">
        <v>100</v>
      </c>
      <c r="C304" s="19"/>
      <c r="D304" s="14">
        <f t="shared" si="31"/>
        <v>154800</v>
      </c>
    </row>
    <row r="305" spans="1:4" ht="144.75" customHeight="1" x14ac:dyDescent="0.3">
      <c r="A305" s="20" t="s">
        <v>330</v>
      </c>
      <c r="B305" s="12" t="s">
        <v>101</v>
      </c>
      <c r="C305" s="12">
        <v>600</v>
      </c>
      <c r="D305" s="5">
        <v>154800</v>
      </c>
    </row>
    <row r="306" spans="1:4" ht="90" customHeight="1" x14ac:dyDescent="0.3">
      <c r="A306" s="16" t="s">
        <v>214</v>
      </c>
      <c r="B306" s="17" t="s">
        <v>102</v>
      </c>
      <c r="C306" s="17"/>
      <c r="D306" s="13">
        <f>D307+D324+D331+D320</f>
        <v>69980364.169999987</v>
      </c>
    </row>
    <row r="307" spans="1:4" ht="93" customHeight="1" x14ac:dyDescent="0.3">
      <c r="A307" s="16" t="s">
        <v>215</v>
      </c>
      <c r="B307" s="17" t="s">
        <v>103</v>
      </c>
      <c r="C307" s="17"/>
      <c r="D307" s="13">
        <f>D308+D310+D314+D316</f>
        <v>51357842.739999995</v>
      </c>
    </row>
    <row r="308" spans="1:4" s="4" customFormat="1" ht="63" customHeight="1" x14ac:dyDescent="0.3">
      <c r="A308" s="18" t="s">
        <v>105</v>
      </c>
      <c r="B308" s="19" t="s">
        <v>104</v>
      </c>
      <c r="C308" s="19"/>
      <c r="D308" s="14">
        <f>SUM(D309:D309)</f>
        <v>1729922.3099999998</v>
      </c>
    </row>
    <row r="309" spans="1:4" s="3" customFormat="1" ht="126" customHeight="1" x14ac:dyDescent="0.3">
      <c r="A309" s="20" t="s">
        <v>137</v>
      </c>
      <c r="B309" s="12" t="s">
        <v>106</v>
      </c>
      <c r="C309" s="12">
        <v>100</v>
      </c>
      <c r="D309" s="5">
        <f>1201093.91+213256.14-5481+17551.95+174576.23+47262.11+81662.97</f>
        <v>1729922.3099999998</v>
      </c>
    </row>
    <row r="310" spans="1:4" ht="88.5" customHeight="1" x14ac:dyDescent="0.3">
      <c r="A310" s="18" t="s">
        <v>216</v>
      </c>
      <c r="B310" s="19" t="s">
        <v>107</v>
      </c>
      <c r="C310" s="19"/>
      <c r="D310" s="14">
        <f t="shared" ref="D310" si="32">SUM(D311:D313)</f>
        <v>49039861.699999996</v>
      </c>
    </row>
    <row r="311" spans="1:4" ht="150" x14ac:dyDescent="0.3">
      <c r="A311" s="20" t="s">
        <v>217</v>
      </c>
      <c r="B311" s="12" t="s">
        <v>108</v>
      </c>
      <c r="C311" s="12">
        <v>100</v>
      </c>
      <c r="D311" s="5">
        <f>38450926.94+2960480.48+12888.24+4265.4+548297.04+90817.95+28478.03+90144.1+58110.47+17607+254324.99+18456.69+10176.03+152066.77+47986.24+1672639.83+749043.21+294755.05+407579.87+423539.19+12659.36+975-81662.97</f>
        <v>46224554.909999996</v>
      </c>
    </row>
    <row r="312" spans="1:4" s="4" customFormat="1" ht="93.75" x14ac:dyDescent="0.3">
      <c r="A312" s="20" t="s">
        <v>403</v>
      </c>
      <c r="B312" s="12" t="s">
        <v>108</v>
      </c>
      <c r="C312" s="12">
        <v>200</v>
      </c>
      <c r="D312" s="5">
        <f>2509779.03+4000+2560+324.09+66183.26+78860.01+7131.31+3575.56+8119.5+30000-30000-30000+100000+10100+8000+7200+2000-975-37050+61.92</f>
        <v>2739869.6799999992</v>
      </c>
    </row>
    <row r="313" spans="1:4" s="3" customFormat="1" ht="75" x14ac:dyDescent="0.3">
      <c r="A313" s="20" t="s">
        <v>218</v>
      </c>
      <c r="B313" s="12" t="s">
        <v>108</v>
      </c>
      <c r="C313" s="12">
        <v>800</v>
      </c>
      <c r="D313" s="5">
        <f>112560-2560-4000-2000-28100-462.89</f>
        <v>75437.11</v>
      </c>
    </row>
    <row r="314" spans="1:4" s="4" customFormat="1" ht="66" customHeight="1" x14ac:dyDescent="0.3">
      <c r="A314" s="18" t="s">
        <v>219</v>
      </c>
      <c r="B314" s="19" t="s">
        <v>109</v>
      </c>
      <c r="C314" s="19"/>
      <c r="D314" s="14">
        <f>SUM(D315:D315)</f>
        <v>66300</v>
      </c>
    </row>
    <row r="315" spans="1:4" s="3" customFormat="1" ht="125.25" customHeight="1" x14ac:dyDescent="0.3">
      <c r="A315" s="26" t="s">
        <v>220</v>
      </c>
      <c r="B315" s="12" t="s">
        <v>133</v>
      </c>
      <c r="C315" s="12">
        <v>200</v>
      </c>
      <c r="D315" s="5">
        <f>60500+4000+1600+10000-7200-2600</f>
        <v>66300</v>
      </c>
    </row>
    <row r="316" spans="1:4" ht="66" customHeight="1" x14ac:dyDescent="0.3">
      <c r="A316" s="18" t="s">
        <v>111</v>
      </c>
      <c r="B316" s="19" t="s">
        <v>110</v>
      </c>
      <c r="C316" s="19"/>
      <c r="D316" s="14">
        <f>SUM(D317:D319)</f>
        <v>521758.73000000004</v>
      </c>
    </row>
    <row r="317" spans="1:4" ht="89.25" customHeight="1" x14ac:dyDescent="0.3">
      <c r="A317" s="20" t="s">
        <v>164</v>
      </c>
      <c r="B317" s="12" t="s">
        <v>112</v>
      </c>
      <c r="C317" s="12">
        <v>200</v>
      </c>
      <c r="D317" s="5">
        <v>10971</v>
      </c>
    </row>
    <row r="318" spans="1:4" ht="146.25" customHeight="1" x14ac:dyDescent="0.3">
      <c r="A318" s="20" t="s">
        <v>165</v>
      </c>
      <c r="B318" s="12" t="s">
        <v>113</v>
      </c>
      <c r="C318" s="12">
        <v>100</v>
      </c>
      <c r="D318" s="5">
        <f>444672.58+44196.64</f>
        <v>488869.22000000003</v>
      </c>
    </row>
    <row r="319" spans="1:4" ht="97.5" customHeight="1" x14ac:dyDescent="0.3">
      <c r="A319" s="20" t="s">
        <v>166</v>
      </c>
      <c r="B319" s="12" t="s">
        <v>113</v>
      </c>
      <c r="C319" s="12">
        <v>200</v>
      </c>
      <c r="D319" s="5">
        <v>21918.51</v>
      </c>
    </row>
    <row r="320" spans="1:4" ht="97.5" customHeight="1" x14ac:dyDescent="0.3">
      <c r="A320" s="23" t="s">
        <v>529</v>
      </c>
      <c r="B320" s="17" t="s">
        <v>530</v>
      </c>
      <c r="C320" s="12"/>
      <c r="D320" s="13">
        <f>D321</f>
        <v>5998978.7699999986</v>
      </c>
    </row>
    <row r="321" spans="1:4" ht="97.5" customHeight="1" x14ac:dyDescent="0.3">
      <c r="A321" s="18" t="s">
        <v>531</v>
      </c>
      <c r="B321" s="19" t="s">
        <v>532</v>
      </c>
      <c r="C321" s="12"/>
      <c r="D321" s="14">
        <f>SUM(D322:D323)</f>
        <v>5998978.7699999986</v>
      </c>
    </row>
    <row r="322" spans="1:4" ht="106.5" customHeight="1" x14ac:dyDescent="0.3">
      <c r="A322" s="20" t="s">
        <v>570</v>
      </c>
      <c r="B322" s="12" t="s">
        <v>569</v>
      </c>
      <c r="C322" s="12">
        <v>600</v>
      </c>
      <c r="D322" s="5">
        <f>1558414+70482</f>
        <v>1628896</v>
      </c>
    </row>
    <row r="323" spans="1:4" ht="97.5" customHeight="1" x14ac:dyDescent="0.3">
      <c r="A323" s="20" t="s">
        <v>533</v>
      </c>
      <c r="B323" s="12" t="s">
        <v>534</v>
      </c>
      <c r="C323" s="12">
        <v>600</v>
      </c>
      <c r="D323" s="5">
        <f>3850482.69+25776.48+8530.8+24119.45+164252.3+205137.67+25318.72+50619.89+15844.77</f>
        <v>4370082.7699999986</v>
      </c>
    </row>
    <row r="324" spans="1:4" ht="56.25" x14ac:dyDescent="0.3">
      <c r="A324" s="23" t="s">
        <v>292</v>
      </c>
      <c r="B324" s="17" t="s">
        <v>293</v>
      </c>
      <c r="C324" s="17"/>
      <c r="D324" s="13">
        <f>D325+D327</f>
        <v>792882.89</v>
      </c>
    </row>
    <row r="325" spans="1:4" ht="68.25" customHeight="1" x14ac:dyDescent="0.3">
      <c r="A325" s="21" t="s">
        <v>294</v>
      </c>
      <c r="B325" s="19" t="s">
        <v>295</v>
      </c>
      <c r="C325" s="19"/>
      <c r="D325" s="14">
        <f>SUM(D326:D326)</f>
        <v>128850</v>
      </c>
    </row>
    <row r="326" spans="1:4" s="3" customFormat="1" ht="105.75" customHeight="1" x14ac:dyDescent="0.3">
      <c r="A326" s="11" t="s">
        <v>296</v>
      </c>
      <c r="B326" s="12" t="s">
        <v>297</v>
      </c>
      <c r="C326" s="12">
        <v>200</v>
      </c>
      <c r="D326" s="5">
        <f>140450+1000-12600</f>
        <v>128850</v>
      </c>
    </row>
    <row r="327" spans="1:4" ht="45.75" customHeight="1" x14ac:dyDescent="0.3">
      <c r="A327" s="21" t="s">
        <v>298</v>
      </c>
      <c r="B327" s="19" t="s">
        <v>299</v>
      </c>
      <c r="C327" s="12"/>
      <c r="D327" s="14">
        <f>SUM(D328:D330)</f>
        <v>664032.89</v>
      </c>
    </row>
    <row r="328" spans="1:4" ht="82.5" customHeight="1" x14ac:dyDescent="0.3">
      <c r="A328" s="11" t="s">
        <v>300</v>
      </c>
      <c r="B328" s="12" t="s">
        <v>301</v>
      </c>
      <c r="C328" s="12">
        <v>200</v>
      </c>
      <c r="D328" s="5">
        <f>150000+165300+28116+14500+28100+17554+462.89</f>
        <v>404032.89</v>
      </c>
    </row>
    <row r="329" spans="1:4" ht="67.5" customHeight="1" x14ac:dyDescent="0.3">
      <c r="A329" s="11" t="s">
        <v>426</v>
      </c>
      <c r="B329" s="12" t="s">
        <v>425</v>
      </c>
      <c r="C329" s="12">
        <v>200</v>
      </c>
      <c r="D329" s="5">
        <f>50000+100000</f>
        <v>150000</v>
      </c>
    </row>
    <row r="330" spans="1:4" ht="67.5" customHeight="1" x14ac:dyDescent="0.3">
      <c r="A330" s="11" t="s">
        <v>723</v>
      </c>
      <c r="B330" s="12" t="s">
        <v>722</v>
      </c>
      <c r="C330" s="12">
        <v>200</v>
      </c>
      <c r="D330" s="5">
        <v>110000</v>
      </c>
    </row>
    <row r="331" spans="1:4" ht="95.25" customHeight="1" x14ac:dyDescent="0.3">
      <c r="A331" s="23" t="s">
        <v>448</v>
      </c>
      <c r="B331" s="17" t="s">
        <v>449</v>
      </c>
      <c r="C331" s="17"/>
      <c r="D331" s="13">
        <f>D332</f>
        <v>11830659.77</v>
      </c>
    </row>
    <row r="332" spans="1:4" ht="51.75" customHeight="1" x14ac:dyDescent="0.3">
      <c r="A332" s="21" t="s">
        <v>450</v>
      </c>
      <c r="B332" s="19" t="s">
        <v>451</v>
      </c>
      <c r="C332" s="19"/>
      <c r="D332" s="14">
        <f>SUM(D333:D335)</f>
        <v>11830659.77</v>
      </c>
    </row>
    <row r="333" spans="1:4" ht="165.75" customHeight="1" x14ac:dyDescent="0.3">
      <c r="A333" s="11" t="s">
        <v>452</v>
      </c>
      <c r="B333" s="12" t="s">
        <v>453</v>
      </c>
      <c r="C333" s="12">
        <v>100</v>
      </c>
      <c r="D333" s="5">
        <f>4810420.64+715365.31+167547.12+55450.2+365986.9+49240.48+148914+170901.36+59679.77+24415.78</f>
        <v>6567921.5600000005</v>
      </c>
    </row>
    <row r="334" spans="1:4" ht="102.75" customHeight="1" x14ac:dyDescent="0.3">
      <c r="A334" s="11" t="s">
        <v>454</v>
      </c>
      <c r="B334" s="12" t="s">
        <v>453</v>
      </c>
      <c r="C334" s="12">
        <v>200</v>
      </c>
      <c r="D334" s="5">
        <f>3745268.38+4719+120750.34+1270696.8+363148.25+1880319.41+69011-2749784.4+55486+286000+40517.43+50000</f>
        <v>5136132.209999999</v>
      </c>
    </row>
    <row r="335" spans="1:4" ht="102.75" customHeight="1" x14ac:dyDescent="0.3">
      <c r="A335" s="11" t="s">
        <v>535</v>
      </c>
      <c r="B335" s="12" t="s">
        <v>453</v>
      </c>
      <c r="C335" s="12">
        <v>800</v>
      </c>
      <c r="D335" s="5">
        <f>131325-4719</f>
        <v>126606</v>
      </c>
    </row>
    <row r="336" spans="1:4" ht="82.5" customHeight="1" x14ac:dyDescent="0.3">
      <c r="A336" s="16" t="s">
        <v>115</v>
      </c>
      <c r="B336" s="17" t="s">
        <v>114</v>
      </c>
      <c r="C336" s="17"/>
      <c r="D336" s="13">
        <f>D337+D342+D346</f>
        <v>119400</v>
      </c>
    </row>
    <row r="337" spans="1:4" ht="67.5" customHeight="1" x14ac:dyDescent="0.3">
      <c r="A337" s="16" t="s">
        <v>117</v>
      </c>
      <c r="B337" s="17" t="s">
        <v>116</v>
      </c>
      <c r="C337" s="17"/>
      <c r="D337" s="13">
        <f t="shared" ref="D337" si="33">D338</f>
        <v>89400</v>
      </c>
    </row>
    <row r="338" spans="1:4" ht="44.25" customHeight="1" x14ac:dyDescent="0.3">
      <c r="A338" s="18" t="s">
        <v>119</v>
      </c>
      <c r="B338" s="19" t="s">
        <v>118</v>
      </c>
      <c r="C338" s="19"/>
      <c r="D338" s="14">
        <f t="shared" ref="D338" si="34">SUM(D339:D341)</f>
        <v>89400</v>
      </c>
    </row>
    <row r="339" spans="1:4" s="3" customFormat="1" ht="75" x14ac:dyDescent="0.3">
      <c r="A339" s="20" t="s">
        <v>387</v>
      </c>
      <c r="B339" s="12" t="s">
        <v>388</v>
      </c>
      <c r="C339" s="12">
        <v>200</v>
      </c>
      <c r="D339" s="5">
        <f>64400-35000</f>
        <v>29400</v>
      </c>
    </row>
    <row r="340" spans="1:4" ht="93.75" x14ac:dyDescent="0.3">
      <c r="A340" s="20" t="s">
        <v>389</v>
      </c>
      <c r="B340" s="12" t="s">
        <v>388</v>
      </c>
      <c r="C340" s="12">
        <v>600</v>
      </c>
      <c r="D340" s="5">
        <f>10000+35000</f>
        <v>45000</v>
      </c>
    </row>
    <row r="341" spans="1:4" ht="93.75" x14ac:dyDescent="0.3">
      <c r="A341" s="20" t="s">
        <v>456</v>
      </c>
      <c r="B341" s="12" t="s">
        <v>457</v>
      </c>
      <c r="C341" s="12">
        <v>200</v>
      </c>
      <c r="D341" s="5">
        <v>15000</v>
      </c>
    </row>
    <row r="342" spans="1:4" s="4" customFormat="1" ht="37.5" x14ac:dyDescent="0.3">
      <c r="A342" s="16" t="s">
        <v>121</v>
      </c>
      <c r="B342" s="17" t="s">
        <v>120</v>
      </c>
      <c r="C342" s="17"/>
      <c r="D342" s="13">
        <f t="shared" ref="D342" si="35">D343</f>
        <v>20000</v>
      </c>
    </row>
    <row r="343" spans="1:4" s="4" customFormat="1" ht="47.25" customHeight="1" x14ac:dyDescent="0.3">
      <c r="A343" s="18" t="s">
        <v>404</v>
      </c>
      <c r="B343" s="19" t="s">
        <v>122</v>
      </c>
      <c r="C343" s="19"/>
      <c r="D343" s="14">
        <f>SUM(D344:D345)</f>
        <v>20000</v>
      </c>
    </row>
    <row r="344" spans="1:4" s="3" customFormat="1" ht="94.5" customHeight="1" x14ac:dyDescent="0.3">
      <c r="A344" s="20" t="s">
        <v>158</v>
      </c>
      <c r="B344" s="12" t="s">
        <v>123</v>
      </c>
      <c r="C344" s="12">
        <v>200</v>
      </c>
      <c r="D344" s="5">
        <v>10000</v>
      </c>
    </row>
    <row r="345" spans="1:4" ht="100.5" customHeight="1" x14ac:dyDescent="0.3">
      <c r="A345" s="20" t="s">
        <v>609</v>
      </c>
      <c r="B345" s="12" t="s">
        <v>390</v>
      </c>
      <c r="C345" s="12">
        <v>600</v>
      </c>
      <c r="D345" s="5">
        <v>10000</v>
      </c>
    </row>
    <row r="346" spans="1:4" ht="46.5" customHeight="1" x14ac:dyDescent="0.3">
      <c r="A346" s="16" t="s">
        <v>391</v>
      </c>
      <c r="B346" s="17" t="s">
        <v>392</v>
      </c>
      <c r="C346" s="17"/>
      <c r="D346" s="13">
        <f t="shared" ref="D346" si="36">D347</f>
        <v>10000</v>
      </c>
    </row>
    <row r="347" spans="1:4" ht="48.75" customHeight="1" x14ac:dyDescent="0.3">
      <c r="A347" s="18" t="s">
        <v>393</v>
      </c>
      <c r="B347" s="19" t="s">
        <v>394</v>
      </c>
      <c r="C347" s="19"/>
      <c r="D347" s="14">
        <f>SUM(D348:D349)</f>
        <v>10000</v>
      </c>
    </row>
    <row r="348" spans="1:4" ht="100.5" customHeight="1" x14ac:dyDescent="0.3">
      <c r="A348" s="20" t="s">
        <v>395</v>
      </c>
      <c r="B348" s="12" t="s">
        <v>396</v>
      </c>
      <c r="C348" s="12">
        <v>200</v>
      </c>
      <c r="D348" s="5">
        <f>10000-5000</f>
        <v>5000</v>
      </c>
    </row>
    <row r="349" spans="1:4" ht="100.5" customHeight="1" x14ac:dyDescent="0.3">
      <c r="A349" s="20" t="s">
        <v>610</v>
      </c>
      <c r="B349" s="12" t="s">
        <v>396</v>
      </c>
      <c r="C349" s="12">
        <v>600</v>
      </c>
      <c r="D349" s="5">
        <v>5000</v>
      </c>
    </row>
    <row r="350" spans="1:4" s="3" customFormat="1" ht="112.5" x14ac:dyDescent="0.3">
      <c r="A350" s="23" t="s">
        <v>320</v>
      </c>
      <c r="B350" s="17" t="s">
        <v>302</v>
      </c>
      <c r="C350" s="12"/>
      <c r="D350" s="13">
        <f t="shared" ref="D350" si="37">D351</f>
        <v>13500</v>
      </c>
    </row>
    <row r="351" spans="1:4" ht="47.25" customHeight="1" x14ac:dyDescent="0.3">
      <c r="A351" s="16" t="s">
        <v>317</v>
      </c>
      <c r="B351" s="17" t="s">
        <v>303</v>
      </c>
      <c r="C351" s="17"/>
      <c r="D351" s="13">
        <f t="shared" ref="D351" si="38">D352+D354</f>
        <v>13500</v>
      </c>
    </row>
    <row r="352" spans="1:4" ht="63" customHeight="1" x14ac:dyDescent="0.3">
      <c r="A352" s="21" t="s">
        <v>319</v>
      </c>
      <c r="B352" s="19" t="s">
        <v>304</v>
      </c>
      <c r="C352" s="12"/>
      <c r="D352" s="14">
        <f t="shared" ref="D352" si="39">SUM(D353)</f>
        <v>12000</v>
      </c>
    </row>
    <row r="353" spans="1:4" ht="104.25" customHeight="1" x14ac:dyDescent="0.3">
      <c r="A353" s="11" t="s">
        <v>305</v>
      </c>
      <c r="B353" s="12" t="s">
        <v>306</v>
      </c>
      <c r="C353" s="12">
        <v>200</v>
      </c>
      <c r="D353" s="5">
        <v>12000</v>
      </c>
    </row>
    <row r="354" spans="1:4" ht="168.75" x14ac:dyDescent="0.3">
      <c r="A354" s="21" t="s">
        <v>307</v>
      </c>
      <c r="B354" s="19" t="s">
        <v>308</v>
      </c>
      <c r="C354" s="12"/>
      <c r="D354" s="14">
        <f t="shared" ref="D354" si="40">D355</f>
        <v>1500</v>
      </c>
    </row>
    <row r="355" spans="1:4" s="4" customFormat="1" ht="120" customHeight="1" x14ac:dyDescent="0.3">
      <c r="A355" s="11" t="s">
        <v>318</v>
      </c>
      <c r="B355" s="12" t="s">
        <v>309</v>
      </c>
      <c r="C355" s="12">
        <v>200</v>
      </c>
      <c r="D355" s="5">
        <v>1500</v>
      </c>
    </row>
    <row r="356" spans="1:4" ht="81" customHeight="1" x14ac:dyDescent="0.3">
      <c r="A356" s="23" t="s">
        <v>331</v>
      </c>
      <c r="B356" s="17" t="s">
        <v>310</v>
      </c>
      <c r="C356" s="12"/>
      <c r="D356" s="13">
        <f>D357+D360</f>
        <v>177260</v>
      </c>
    </row>
    <row r="357" spans="1:4" ht="46.5" customHeight="1" x14ac:dyDescent="0.3">
      <c r="A357" s="16" t="s">
        <v>194</v>
      </c>
      <c r="B357" s="17" t="s">
        <v>311</v>
      </c>
      <c r="C357" s="12"/>
      <c r="D357" s="13">
        <f t="shared" ref="D357" si="41">D358</f>
        <v>140000</v>
      </c>
    </row>
    <row r="358" spans="1:4" ht="45" customHeight="1" x14ac:dyDescent="0.3">
      <c r="A358" s="18" t="s">
        <v>195</v>
      </c>
      <c r="B358" s="19" t="s">
        <v>312</v>
      </c>
      <c r="C358" s="12"/>
      <c r="D358" s="14">
        <f>SUM(D359:D359)</f>
        <v>140000</v>
      </c>
    </row>
    <row r="359" spans="1:4" ht="56.25" x14ac:dyDescent="0.3">
      <c r="A359" s="20" t="s">
        <v>375</v>
      </c>
      <c r="B359" s="12" t="s">
        <v>428</v>
      </c>
      <c r="C359" s="12">
        <v>300</v>
      </c>
      <c r="D359" s="5">
        <v>140000</v>
      </c>
    </row>
    <row r="360" spans="1:4" ht="64.5" customHeight="1" x14ac:dyDescent="0.3">
      <c r="A360" s="16" t="s">
        <v>196</v>
      </c>
      <c r="B360" s="17" t="s">
        <v>313</v>
      </c>
      <c r="C360" s="12"/>
      <c r="D360" s="13">
        <f t="shared" ref="D360" si="42">D361</f>
        <v>37260</v>
      </c>
    </row>
    <row r="361" spans="1:4" ht="63.75" customHeight="1" x14ac:dyDescent="0.3">
      <c r="A361" s="18" t="s">
        <v>197</v>
      </c>
      <c r="B361" s="19" t="s">
        <v>314</v>
      </c>
      <c r="C361" s="12"/>
      <c r="D361" s="14">
        <f t="shared" ref="D361" si="43">SUM(D362:D362)</f>
        <v>37260</v>
      </c>
    </row>
    <row r="362" spans="1:4" ht="141" customHeight="1" x14ac:dyDescent="0.3">
      <c r="A362" s="11" t="s">
        <v>405</v>
      </c>
      <c r="B362" s="12" t="s">
        <v>429</v>
      </c>
      <c r="C362" s="12">
        <v>300</v>
      </c>
      <c r="D362" s="5">
        <v>37260</v>
      </c>
    </row>
    <row r="363" spans="1:4" ht="84" customHeight="1" x14ac:dyDescent="0.3">
      <c r="A363" s="23" t="s">
        <v>343</v>
      </c>
      <c r="B363" s="17" t="s">
        <v>346</v>
      </c>
      <c r="C363" s="17"/>
      <c r="D363" s="13">
        <f t="shared" ref="D363:D364" si="44">D364</f>
        <v>429200</v>
      </c>
    </row>
    <row r="364" spans="1:4" ht="75.75" customHeight="1" x14ac:dyDescent="0.3">
      <c r="A364" s="23" t="s">
        <v>344</v>
      </c>
      <c r="B364" s="17" t="s">
        <v>347</v>
      </c>
      <c r="C364" s="17"/>
      <c r="D364" s="13">
        <f t="shared" si="44"/>
        <v>429200</v>
      </c>
    </row>
    <row r="365" spans="1:4" ht="52.5" customHeight="1" x14ac:dyDescent="0.3">
      <c r="A365" s="21" t="s">
        <v>345</v>
      </c>
      <c r="B365" s="19" t="s">
        <v>348</v>
      </c>
      <c r="C365" s="19"/>
      <c r="D365" s="14">
        <f>SUM(D366:D370)</f>
        <v>429200</v>
      </c>
    </row>
    <row r="366" spans="1:4" ht="60.75" customHeight="1" x14ac:dyDescent="0.3">
      <c r="A366" s="11" t="s">
        <v>656</v>
      </c>
      <c r="B366" s="12" t="s">
        <v>655</v>
      </c>
      <c r="C366" s="12">
        <v>200</v>
      </c>
      <c r="D366" s="5">
        <f>15600-100</f>
        <v>15500</v>
      </c>
    </row>
    <row r="367" spans="1:4" ht="85.5" customHeight="1" x14ac:dyDescent="0.3">
      <c r="A367" s="11" t="s">
        <v>351</v>
      </c>
      <c r="B367" s="12" t="s">
        <v>349</v>
      </c>
      <c r="C367" s="12">
        <v>200</v>
      </c>
      <c r="D367" s="5">
        <f>1000-200</f>
        <v>800</v>
      </c>
    </row>
    <row r="368" spans="1:4" ht="90" customHeight="1" x14ac:dyDescent="0.3">
      <c r="A368" s="11" t="s">
        <v>352</v>
      </c>
      <c r="B368" s="12" t="s">
        <v>350</v>
      </c>
      <c r="C368" s="12">
        <v>200</v>
      </c>
      <c r="D368" s="5">
        <f>238500+400-1600-9250+18500-10000-20000-6850</f>
        <v>209700</v>
      </c>
    </row>
    <row r="369" spans="1:4" ht="84" customHeight="1" x14ac:dyDescent="0.3">
      <c r="A369" s="11" t="s">
        <v>353</v>
      </c>
      <c r="B369" s="12" t="s">
        <v>350</v>
      </c>
      <c r="C369" s="12">
        <v>600</v>
      </c>
      <c r="D369" s="5">
        <f>118000+20000</f>
        <v>138000</v>
      </c>
    </row>
    <row r="370" spans="1:4" ht="102" customHeight="1" x14ac:dyDescent="0.3">
      <c r="A370" s="11" t="s">
        <v>747</v>
      </c>
      <c r="B370" s="12" t="s">
        <v>746</v>
      </c>
      <c r="C370" s="12">
        <v>200</v>
      </c>
      <c r="D370" s="5">
        <v>65200</v>
      </c>
    </row>
    <row r="371" spans="1:4" ht="49.5" customHeight="1" x14ac:dyDescent="0.3">
      <c r="A371" s="23" t="s">
        <v>383</v>
      </c>
      <c r="B371" s="17" t="s">
        <v>384</v>
      </c>
      <c r="C371" s="12"/>
      <c r="D371" s="13">
        <f t="shared" ref="D371" si="45">D372</f>
        <v>7274396.4500000002</v>
      </c>
    </row>
    <row r="372" spans="1:4" s="4" customFormat="1" ht="94.5" customHeight="1" x14ac:dyDescent="0.3">
      <c r="A372" s="16" t="s">
        <v>363</v>
      </c>
      <c r="B372" s="17" t="s">
        <v>124</v>
      </c>
      <c r="C372" s="17"/>
      <c r="D372" s="13">
        <f>SUM(D373:D390)</f>
        <v>7274396.4500000002</v>
      </c>
    </row>
    <row r="373" spans="1:4" s="4" customFormat="1" ht="123" customHeight="1" x14ac:dyDescent="0.3">
      <c r="A373" s="20" t="s">
        <v>221</v>
      </c>
      <c r="B373" s="12" t="s">
        <v>125</v>
      </c>
      <c r="C373" s="12">
        <v>100</v>
      </c>
      <c r="D373" s="5">
        <f>1392518.3+94031.48+19363.54+19280.86+121213.06</f>
        <v>1646407.2400000002</v>
      </c>
    </row>
    <row r="374" spans="1:4" s="4" customFormat="1" ht="81.75" customHeight="1" x14ac:dyDescent="0.3">
      <c r="A374" s="20" t="s">
        <v>222</v>
      </c>
      <c r="B374" s="12" t="s">
        <v>125</v>
      </c>
      <c r="C374" s="12">
        <v>200</v>
      </c>
      <c r="D374" s="5">
        <v>366446</v>
      </c>
    </row>
    <row r="375" spans="1:4" ht="63.75" customHeight="1" x14ac:dyDescent="0.3">
      <c r="A375" s="20" t="s">
        <v>223</v>
      </c>
      <c r="B375" s="12" t="s">
        <v>125</v>
      </c>
      <c r="C375" s="12">
        <v>800</v>
      </c>
      <c r="D375" s="5">
        <v>6000</v>
      </c>
    </row>
    <row r="376" spans="1:4" ht="141.75" customHeight="1" x14ac:dyDescent="0.3">
      <c r="A376" s="20" t="s">
        <v>224</v>
      </c>
      <c r="B376" s="12" t="s">
        <v>126</v>
      </c>
      <c r="C376" s="12">
        <v>100</v>
      </c>
      <c r="D376" s="5">
        <v>72000</v>
      </c>
    </row>
    <row r="377" spans="1:4" ht="145.5" customHeight="1" x14ac:dyDescent="0.3">
      <c r="A377" s="20" t="s">
        <v>138</v>
      </c>
      <c r="B377" s="12" t="s">
        <v>127</v>
      </c>
      <c r="C377" s="12">
        <v>100</v>
      </c>
      <c r="D377" s="5">
        <f>1373625.87+93656.6+18658.31+19286.26+118952.68</f>
        <v>1624179.7200000002</v>
      </c>
    </row>
    <row r="378" spans="1:4" ht="83.25" customHeight="1" x14ac:dyDescent="0.3">
      <c r="A378" s="20" t="s">
        <v>225</v>
      </c>
      <c r="B378" s="12" t="s">
        <v>127</v>
      </c>
      <c r="C378" s="12">
        <v>200</v>
      </c>
      <c r="D378" s="5">
        <f>215352.15+49900+622.5+56000+3000+7855+76900</f>
        <v>409629.65</v>
      </c>
    </row>
    <row r="379" spans="1:4" ht="131.25" x14ac:dyDescent="0.3">
      <c r="A379" s="20" t="s">
        <v>139</v>
      </c>
      <c r="B379" s="12" t="s">
        <v>128</v>
      </c>
      <c r="C379" s="12">
        <v>100</v>
      </c>
      <c r="D379" s="5">
        <f>802748.62+167239.29+12627.79+110544.27</f>
        <v>1093159.97</v>
      </c>
    </row>
    <row r="380" spans="1:4" ht="168.75" x14ac:dyDescent="0.3">
      <c r="A380" s="20" t="s">
        <v>459</v>
      </c>
      <c r="B380" s="12" t="s">
        <v>460</v>
      </c>
      <c r="C380" s="12">
        <v>100</v>
      </c>
      <c r="D380" s="5">
        <f>228435+9137.4+14137.01+32891+5167.59</f>
        <v>289768.00000000006</v>
      </c>
    </row>
    <row r="381" spans="1:4" ht="126" customHeight="1" x14ac:dyDescent="0.3">
      <c r="A381" s="11" t="s">
        <v>140</v>
      </c>
      <c r="B381" s="12" t="s">
        <v>132</v>
      </c>
      <c r="C381" s="12">
        <v>100</v>
      </c>
      <c r="D381" s="5">
        <f>1177673.53+204980.94+17988.56+157572.84</f>
        <v>1558215.87</v>
      </c>
    </row>
    <row r="382" spans="1:4" ht="167.25" hidden="1" customHeight="1" x14ac:dyDescent="0.3">
      <c r="A382" s="11" t="s">
        <v>461</v>
      </c>
      <c r="B382" s="12" t="s">
        <v>462</v>
      </c>
      <c r="C382" s="12">
        <v>100</v>
      </c>
      <c r="D382" s="5">
        <v>0</v>
      </c>
    </row>
    <row r="383" spans="1:4" ht="134.25" customHeight="1" x14ac:dyDescent="0.3">
      <c r="A383" s="11" t="s">
        <v>612</v>
      </c>
      <c r="B383" s="12" t="s">
        <v>611</v>
      </c>
      <c r="C383" s="12">
        <v>200</v>
      </c>
      <c r="D383" s="5">
        <v>3600</v>
      </c>
    </row>
    <row r="384" spans="1:4" ht="167.25" customHeight="1" x14ac:dyDescent="0.3">
      <c r="A384" s="11" t="s">
        <v>461</v>
      </c>
      <c r="B384" s="12" t="s">
        <v>462</v>
      </c>
      <c r="C384" s="12">
        <v>100</v>
      </c>
      <c r="D384" s="5">
        <f>44246.65+1996+627.35</f>
        <v>46870</v>
      </c>
    </row>
    <row r="385" spans="1:4" ht="162" customHeight="1" x14ac:dyDescent="0.3">
      <c r="A385" s="11" t="s">
        <v>463</v>
      </c>
      <c r="B385" s="12" t="s">
        <v>464</v>
      </c>
      <c r="C385" s="12">
        <v>100</v>
      </c>
      <c r="D385" s="5">
        <f>38089+4998+1159.65+1996+627.35</f>
        <v>46870</v>
      </c>
    </row>
    <row r="386" spans="1:4" ht="156" customHeight="1" x14ac:dyDescent="0.3">
      <c r="A386" s="11" t="s">
        <v>465</v>
      </c>
      <c r="B386" s="12" t="s">
        <v>466</v>
      </c>
      <c r="C386" s="12">
        <v>100</v>
      </c>
      <c r="D386" s="5">
        <f>38089+4998+1159.65+1996+627.35</f>
        <v>46870</v>
      </c>
    </row>
    <row r="387" spans="1:4" ht="158.25" customHeight="1" x14ac:dyDescent="0.3">
      <c r="A387" s="11" t="s">
        <v>467</v>
      </c>
      <c r="B387" s="12" t="s">
        <v>468</v>
      </c>
      <c r="C387" s="12">
        <v>100</v>
      </c>
      <c r="D387" s="5">
        <f>38123.28+4963.72+1159.65+1996+627.35</f>
        <v>46870</v>
      </c>
    </row>
    <row r="388" spans="1:4" ht="104.25" customHeight="1" x14ac:dyDescent="0.3">
      <c r="A388" s="11" t="s">
        <v>645</v>
      </c>
      <c r="B388" s="12" t="s">
        <v>644</v>
      </c>
      <c r="C388" s="12">
        <v>300</v>
      </c>
      <c r="D388" s="5">
        <v>5000</v>
      </c>
    </row>
    <row r="389" spans="1:4" ht="104.25" customHeight="1" x14ac:dyDescent="0.3">
      <c r="A389" s="11" t="s">
        <v>660</v>
      </c>
      <c r="B389" s="12" t="s">
        <v>659</v>
      </c>
      <c r="C389" s="12">
        <v>300</v>
      </c>
      <c r="D389" s="5">
        <v>6000</v>
      </c>
    </row>
    <row r="390" spans="1:4" ht="124.5" customHeight="1" x14ac:dyDescent="0.3">
      <c r="A390" s="11" t="s">
        <v>662</v>
      </c>
      <c r="B390" s="12" t="s">
        <v>661</v>
      </c>
      <c r="C390" s="12">
        <v>100</v>
      </c>
      <c r="D390" s="5">
        <f>5000+1510</f>
        <v>6510</v>
      </c>
    </row>
    <row r="391" spans="1:4" ht="70.5" customHeight="1" x14ac:dyDescent="0.3">
      <c r="A391" s="23" t="s">
        <v>385</v>
      </c>
      <c r="B391" s="17" t="s">
        <v>386</v>
      </c>
      <c r="C391" s="12"/>
      <c r="D391" s="13">
        <f t="shared" ref="D391" si="46">D392</f>
        <v>5501529.2599999998</v>
      </c>
    </row>
    <row r="392" spans="1:4" ht="93.75" customHeight="1" x14ac:dyDescent="0.3">
      <c r="A392" s="16" t="s">
        <v>322</v>
      </c>
      <c r="B392" s="17" t="s">
        <v>323</v>
      </c>
      <c r="C392" s="17"/>
      <c r="D392" s="13">
        <f>SUM(D393:D419)</f>
        <v>5501529.2599999998</v>
      </c>
    </row>
    <row r="393" spans="1:4" ht="72.75" customHeight="1" x14ac:dyDescent="0.3">
      <c r="A393" s="20" t="s">
        <v>536</v>
      </c>
      <c r="B393" s="12" t="s">
        <v>537</v>
      </c>
      <c r="C393" s="12">
        <v>200</v>
      </c>
      <c r="D393" s="5">
        <f>771748.52+73565.45+4117.19-225313.97-35000</f>
        <v>589117.18999999994</v>
      </c>
    </row>
    <row r="394" spans="1:4" ht="57.75" customHeight="1" x14ac:dyDescent="0.3">
      <c r="A394" s="20" t="s">
        <v>538</v>
      </c>
      <c r="B394" s="12" t="s">
        <v>537</v>
      </c>
      <c r="C394" s="12">
        <v>800</v>
      </c>
      <c r="D394" s="5">
        <f>30000+39000+35000</f>
        <v>104000</v>
      </c>
    </row>
    <row r="395" spans="1:4" ht="105" customHeight="1" x14ac:dyDescent="0.3">
      <c r="A395" s="20" t="s">
        <v>406</v>
      </c>
      <c r="B395" s="12" t="s">
        <v>354</v>
      </c>
      <c r="C395" s="12">
        <v>500</v>
      </c>
      <c r="D395" s="5">
        <v>146515.31</v>
      </c>
    </row>
    <row r="396" spans="1:4" ht="147.75" customHeight="1" x14ac:dyDescent="0.3">
      <c r="A396" s="36" t="s">
        <v>539</v>
      </c>
      <c r="B396" s="12" t="s">
        <v>540</v>
      </c>
      <c r="C396" s="12">
        <v>500</v>
      </c>
      <c r="D396" s="5">
        <v>1958.8</v>
      </c>
    </row>
    <row r="397" spans="1:4" ht="213.75" customHeight="1" x14ac:dyDescent="0.3">
      <c r="A397" s="36" t="s">
        <v>541</v>
      </c>
      <c r="B397" s="12" t="s">
        <v>542</v>
      </c>
      <c r="C397" s="12">
        <v>500</v>
      </c>
      <c r="D397" s="5">
        <v>8247.2000000000007</v>
      </c>
    </row>
    <row r="398" spans="1:4" ht="91.5" customHeight="1" x14ac:dyDescent="0.3">
      <c r="A398" s="36" t="s">
        <v>543</v>
      </c>
      <c r="B398" s="12" t="s">
        <v>544</v>
      </c>
      <c r="C398" s="12">
        <v>500</v>
      </c>
      <c r="D398" s="5">
        <v>1958.8</v>
      </c>
    </row>
    <row r="399" spans="1:4" ht="105" customHeight="1" x14ac:dyDescent="0.3">
      <c r="A399" s="36" t="s">
        <v>545</v>
      </c>
      <c r="B399" s="12" t="s">
        <v>546</v>
      </c>
      <c r="C399" s="12">
        <v>500</v>
      </c>
      <c r="D399" s="5">
        <v>1958.8</v>
      </c>
    </row>
    <row r="400" spans="1:4" ht="147.75" customHeight="1" x14ac:dyDescent="0.3">
      <c r="A400" s="36" t="s">
        <v>547</v>
      </c>
      <c r="B400" s="12" t="s">
        <v>548</v>
      </c>
      <c r="C400" s="12">
        <v>500</v>
      </c>
      <c r="D400" s="5">
        <v>1958.8</v>
      </c>
    </row>
    <row r="401" spans="1:4" ht="136.5" customHeight="1" x14ac:dyDescent="0.3">
      <c r="A401" s="36" t="s">
        <v>549</v>
      </c>
      <c r="B401" s="12" t="s">
        <v>550</v>
      </c>
      <c r="C401" s="12">
        <v>500</v>
      </c>
      <c r="D401" s="5">
        <v>1958.8</v>
      </c>
    </row>
    <row r="402" spans="1:4" ht="90.75" customHeight="1" x14ac:dyDescent="0.3">
      <c r="A402" s="36" t="s">
        <v>551</v>
      </c>
      <c r="B402" s="12" t="s">
        <v>552</v>
      </c>
      <c r="C402" s="12">
        <v>500</v>
      </c>
      <c r="D402" s="5">
        <v>1958.8</v>
      </c>
    </row>
    <row r="403" spans="1:4" ht="112.5" customHeight="1" x14ac:dyDescent="0.3">
      <c r="A403" s="36" t="s">
        <v>726</v>
      </c>
      <c r="B403" s="12" t="s">
        <v>724</v>
      </c>
      <c r="C403" s="12">
        <v>200</v>
      </c>
      <c r="D403" s="5">
        <v>174580</v>
      </c>
    </row>
    <row r="404" spans="1:4" ht="90.75" customHeight="1" x14ac:dyDescent="0.3">
      <c r="A404" s="36" t="s">
        <v>727</v>
      </c>
      <c r="B404" s="12" t="s">
        <v>725</v>
      </c>
      <c r="C404" s="12">
        <v>200</v>
      </c>
      <c r="D404" s="5">
        <v>266800</v>
      </c>
    </row>
    <row r="405" spans="1:4" ht="117.75" customHeight="1" x14ac:dyDescent="0.3">
      <c r="A405" s="36" t="s">
        <v>616</v>
      </c>
      <c r="B405" s="12" t="s">
        <v>615</v>
      </c>
      <c r="C405" s="12">
        <v>200</v>
      </c>
      <c r="D405" s="5">
        <v>80000</v>
      </c>
    </row>
    <row r="406" spans="1:4" ht="117.75" customHeight="1" x14ac:dyDescent="0.3">
      <c r="A406" s="36" t="s">
        <v>670</v>
      </c>
      <c r="B406" s="12" t="s">
        <v>669</v>
      </c>
      <c r="C406" s="12">
        <v>200</v>
      </c>
      <c r="D406" s="5">
        <f>49948+82000+247000</f>
        <v>378948</v>
      </c>
    </row>
    <row r="407" spans="1:4" ht="165" customHeight="1" x14ac:dyDescent="0.3">
      <c r="A407" s="36" t="s">
        <v>701</v>
      </c>
      <c r="B407" s="12" t="s">
        <v>588</v>
      </c>
      <c r="C407" s="12">
        <v>100</v>
      </c>
      <c r="D407" s="5">
        <v>60000</v>
      </c>
    </row>
    <row r="408" spans="1:4" ht="128.25" customHeight="1" x14ac:dyDescent="0.3">
      <c r="A408" s="36" t="s">
        <v>618</v>
      </c>
      <c r="B408" s="12" t="s">
        <v>617</v>
      </c>
      <c r="C408" s="12">
        <v>200</v>
      </c>
      <c r="D408" s="5">
        <v>100000</v>
      </c>
    </row>
    <row r="409" spans="1:4" ht="72.75" customHeight="1" x14ac:dyDescent="0.3">
      <c r="A409" s="36" t="s">
        <v>664</v>
      </c>
      <c r="B409" s="12" t="s">
        <v>663</v>
      </c>
      <c r="C409" s="12">
        <v>800</v>
      </c>
      <c r="D409" s="5">
        <v>15000</v>
      </c>
    </row>
    <row r="410" spans="1:4" ht="108" customHeight="1" x14ac:dyDescent="0.3">
      <c r="A410" s="36" t="s">
        <v>688</v>
      </c>
      <c r="B410" s="12" t="s">
        <v>687</v>
      </c>
      <c r="C410" s="12">
        <v>300</v>
      </c>
      <c r="D410" s="5">
        <v>20000</v>
      </c>
    </row>
    <row r="411" spans="1:4" ht="72.75" customHeight="1" x14ac:dyDescent="0.3">
      <c r="A411" s="36" t="s">
        <v>683</v>
      </c>
      <c r="B411" s="12" t="s">
        <v>682</v>
      </c>
      <c r="C411" s="12">
        <v>200</v>
      </c>
      <c r="D411" s="5">
        <v>200000</v>
      </c>
    </row>
    <row r="412" spans="1:4" ht="102" customHeight="1" x14ac:dyDescent="0.3">
      <c r="A412" s="36" t="s">
        <v>690</v>
      </c>
      <c r="B412" s="12" t="s">
        <v>689</v>
      </c>
      <c r="C412" s="12">
        <v>800</v>
      </c>
      <c r="D412" s="5">
        <f>152797+19139.01</f>
        <v>171936.01</v>
      </c>
    </row>
    <row r="413" spans="1:4" ht="102" customHeight="1" x14ac:dyDescent="0.3">
      <c r="A413" s="36" t="s">
        <v>729</v>
      </c>
      <c r="B413" s="12" t="s">
        <v>728</v>
      </c>
      <c r="C413" s="12">
        <v>200</v>
      </c>
      <c r="D413" s="5">
        <v>18560</v>
      </c>
    </row>
    <row r="414" spans="1:4" ht="105" customHeight="1" x14ac:dyDescent="0.3">
      <c r="A414" s="20" t="s">
        <v>470</v>
      </c>
      <c r="B414" s="12" t="s">
        <v>357</v>
      </c>
      <c r="C414" s="12">
        <v>200</v>
      </c>
      <c r="D414" s="5">
        <f>24425.32+2083.66</f>
        <v>26508.98</v>
      </c>
    </row>
    <row r="415" spans="1:4" ht="125.25" customHeight="1" x14ac:dyDescent="0.3">
      <c r="A415" s="20" t="s">
        <v>686</v>
      </c>
      <c r="B415" s="12" t="s">
        <v>685</v>
      </c>
      <c r="C415" s="12">
        <v>100</v>
      </c>
      <c r="D415" s="5">
        <v>911400</v>
      </c>
    </row>
    <row r="416" spans="1:4" ht="65.25" customHeight="1" x14ac:dyDescent="0.3">
      <c r="A416" s="20" t="s">
        <v>356</v>
      </c>
      <c r="B416" s="12" t="s">
        <v>355</v>
      </c>
      <c r="C416" s="12">
        <v>300</v>
      </c>
      <c r="D416" s="5">
        <f>1562099.33+226123.92+29002.87+107504.43</f>
        <v>1924730.55</v>
      </c>
    </row>
    <row r="417" spans="1:4" ht="123.75" customHeight="1" x14ac:dyDescent="0.3">
      <c r="A417" s="20" t="s">
        <v>442</v>
      </c>
      <c r="B417" s="12" t="s">
        <v>321</v>
      </c>
      <c r="C417" s="12">
        <v>200</v>
      </c>
      <c r="D417" s="5">
        <f>66392.85+65607.15</f>
        <v>132000</v>
      </c>
    </row>
    <row r="418" spans="1:4" ht="165.75" customHeight="1" x14ac:dyDescent="0.3">
      <c r="A418" s="20" t="s">
        <v>571</v>
      </c>
      <c r="B418" s="12" t="s">
        <v>572</v>
      </c>
      <c r="C418" s="12">
        <v>200</v>
      </c>
      <c r="D418" s="5">
        <v>101433.22</v>
      </c>
    </row>
    <row r="419" spans="1:4" ht="57.75" customHeight="1" x14ac:dyDescent="0.3">
      <c r="A419" s="20" t="s">
        <v>614</v>
      </c>
      <c r="B419" s="12" t="s">
        <v>613</v>
      </c>
      <c r="C419" s="12">
        <v>800</v>
      </c>
      <c r="D419" s="5">
        <f>30000+30000</f>
        <v>60000</v>
      </c>
    </row>
    <row r="420" spans="1:4" ht="38.25" customHeight="1" x14ac:dyDescent="0.3">
      <c r="A420" s="27" t="s">
        <v>376</v>
      </c>
      <c r="B420" s="28"/>
      <c r="C420" s="29"/>
      <c r="D420" s="13">
        <f>D15+D138+D208+D245+D268+D291+D295+D306+D336+D350+D356+D363+D372+D392</f>
        <v>625903121.62</v>
      </c>
    </row>
    <row r="421" spans="1:4" x14ac:dyDescent="0.3">
      <c r="A421" s="8"/>
      <c r="B421" s="9"/>
      <c r="C421" s="10"/>
      <c r="D421" s="33"/>
    </row>
    <row r="422" spans="1:4" x14ac:dyDescent="0.3">
      <c r="A422" s="6"/>
      <c r="B422" s="6"/>
      <c r="C422" s="7"/>
    </row>
    <row r="423" spans="1:4" s="4" customFormat="1" x14ac:dyDescent="0.3">
      <c r="A423" s="6"/>
      <c r="B423" s="6"/>
      <c r="C423" s="7"/>
    </row>
    <row r="424" spans="1:4" x14ac:dyDescent="0.3">
      <c r="A424" s="6"/>
      <c r="B424" s="6"/>
      <c r="C424" s="7"/>
    </row>
    <row r="425" spans="1:4" x14ac:dyDescent="0.3">
      <c r="A425" s="6"/>
      <c r="B425" s="6"/>
      <c r="C425" s="7"/>
    </row>
    <row r="426" spans="1:4" x14ac:dyDescent="0.3">
      <c r="A426" s="6"/>
      <c r="B426" s="6"/>
      <c r="C426" s="7"/>
    </row>
    <row r="427" spans="1:4" x14ac:dyDescent="0.3">
      <c r="A427" s="6"/>
      <c r="B427" s="6"/>
      <c r="C427" s="7"/>
    </row>
    <row r="428" spans="1:4" x14ac:dyDescent="0.3">
      <c r="A428" s="6"/>
      <c r="B428" s="6"/>
      <c r="C428" s="7"/>
    </row>
    <row r="429" spans="1:4" x14ac:dyDescent="0.3">
      <c r="A429" s="6"/>
      <c r="B429" s="6"/>
      <c r="C429" s="7"/>
    </row>
    <row r="430" spans="1:4" x14ac:dyDescent="0.3">
      <c r="A430" s="6"/>
      <c r="B430" s="6"/>
      <c r="C430" s="7"/>
    </row>
    <row r="431" spans="1:4" x14ac:dyDescent="0.3">
      <c r="A431" s="6"/>
      <c r="B431" s="6"/>
      <c r="C431" s="7"/>
    </row>
    <row r="432" spans="1:4"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sheetData>
  <mergeCells count="14">
    <mergeCell ref="B1:D1"/>
    <mergeCell ref="B2:D2"/>
    <mergeCell ref="B3:D3"/>
    <mergeCell ref="B4:D4"/>
    <mergeCell ref="B5:D5"/>
    <mergeCell ref="B6:D6"/>
    <mergeCell ref="B7:D7"/>
    <mergeCell ref="B8:D8"/>
    <mergeCell ref="A10:D10"/>
    <mergeCell ref="D12:D13"/>
    <mergeCell ref="A11:D11"/>
    <mergeCell ref="A12:A13"/>
    <mergeCell ref="B12:B13"/>
    <mergeCell ref="C12:C13"/>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 6 Распредел. на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2023-04-11T13:46:57Z</dcterms:modified>
</cp:coreProperties>
</file>