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7350" activeTab="0"/>
  </bookViews>
  <sheets>
    <sheet name="Прил. № 4 Распред на 2023 год" sheetId="1" r:id="rId1"/>
  </sheets>
  <definedNames>
    <definedName name="_xlnm.Print_Titles" localSheetId="0">'Прил. № 4 Распред на 2023 год'!$25:$25</definedName>
  </definedNames>
  <calcPr fullCalcOnLoad="1"/>
</workbook>
</file>

<file path=xl/sharedStrings.xml><?xml version="1.0" encoding="utf-8"?>
<sst xmlns="http://schemas.openxmlformats.org/spreadsheetml/2006/main" count="330" uniqueCount="325">
  <si>
    <t>01 0 00 00000</t>
  </si>
  <si>
    <t>01 1 00 00000</t>
  </si>
  <si>
    <t>01 2 00 00000</t>
  </si>
  <si>
    <t>01 2 01 00000</t>
  </si>
  <si>
    <t>02 0 00 00000</t>
  </si>
  <si>
    <t>02 1 00 00000</t>
  </si>
  <si>
    <t>02 1 01 00000</t>
  </si>
  <si>
    <t>02 2 00 00000</t>
  </si>
  <si>
    <t>02 2 01 00000</t>
  </si>
  <si>
    <t>02 3 00 00000</t>
  </si>
  <si>
    <t>02 3 01 00000</t>
  </si>
  <si>
    <t>03 0 00 00000</t>
  </si>
  <si>
    <t>03 1 00 00000</t>
  </si>
  <si>
    <t>03 1 01 00000</t>
  </si>
  <si>
    <t>03 2 00 00000</t>
  </si>
  <si>
    <t>03 2 01 00000</t>
  </si>
  <si>
    <t>30 9 00 00000</t>
  </si>
  <si>
    <t>30 9 00 00200</t>
  </si>
  <si>
    <t>31 9 00 00000</t>
  </si>
  <si>
    <t>01 1 02 00000</t>
  </si>
  <si>
    <t xml:space="preserve">Основное мероприятие "Финансовая поддержка социально-ориентированных некоммерческих организаций" </t>
  </si>
  <si>
    <t>Подпрограмма "Поддержка деятельности общественных объединений, обеспечение прав и возможностей отдельных категорий граждан"</t>
  </si>
  <si>
    <t>02 4 00 00000</t>
  </si>
  <si>
    <t>02 4 01 00000</t>
  </si>
  <si>
    <t xml:space="preserve">Основное мероприятие "Организация и проведение мероприятий с детьми и молодежью, развитие физической культуры и спорта,  обеспечение населения услугами учреждений культуры" </t>
  </si>
  <si>
    <t xml:space="preserve">Основное мероприятие "Организация строительства и содержания муниципального жилищного фонда, обеспечение населения услугами водоснабжения" </t>
  </si>
  <si>
    <t xml:space="preserve">Основное мероприятие "Капитальный ремонт, ремонт и содержание автомобильных дорог Южского городского поселения" </t>
  </si>
  <si>
    <t xml:space="preserve">Основное мероприятие "Управление и распоряжение земельными ресурсами" </t>
  </si>
  <si>
    <t xml:space="preserve">Основное мероприятие "Обеспечение безопасности граждан" </t>
  </si>
  <si>
    <t>Непрограммные направления деятельности  органов местного самоуправления Южского городского поселения</t>
  </si>
  <si>
    <t>Непрограммные  направления  деятельности исполнительно-распорядительных  органов местного самоуправления Южского муниципального района</t>
  </si>
  <si>
    <t>Проведение мероприятий среди молодежи (Предоставление субсидий бюджетным, автономным учреждениям и иным некоммерческим организациям)</t>
  </si>
  <si>
    <r>
      <t>Поддержка талантливой молодежи (Предоставление субсидий бюджетным, автономным учреждениям и иным некоммерческим организациям)</t>
    </r>
  </si>
  <si>
    <r>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r>
  </si>
  <si>
    <t>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t>
  </si>
  <si>
    <t xml:space="preserve">Основное мероприятие "Создание комфортных условий для проживания населения Южского городского поселения" </t>
  </si>
  <si>
    <t>Подпрограмма "Улучшение коммунального обслуживания и жилищных условий граждан Южского городского поселения"</t>
  </si>
  <si>
    <t>Капитальный ремонт, ремонт и содержание жилищного фонда (Закупка товаров, работ и услуг для обеспечения государственных (муниципальных) нужд)</t>
  </si>
  <si>
    <t>Подпрограмма "Благоустройство и озеленение Южского городского поселения"</t>
  </si>
  <si>
    <t>Обеспечение улучшения организации дорожного движения  (Закупка товаров, работ и услуг для обеспечения государственных (муниципальных) нужд)</t>
  </si>
  <si>
    <t>02 6 00 00000</t>
  </si>
  <si>
    <t>02 6 01 00000</t>
  </si>
  <si>
    <t xml:space="preserve">Основное мероприятие "Возмещение части затрат в связи с оказанием услуг по помывке населения в общих отделениях бани" </t>
  </si>
  <si>
    <t>02 7 01 00000</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</si>
  <si>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</si>
  <si>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Подпрограмма "Управление и распоряжение муниципальным имуществом и земельными ресурсами Южского городского поселения"</t>
  </si>
  <si>
    <t>02 7 00 00000</t>
  </si>
  <si>
    <t xml:space="preserve">Основное мероприятие "Управление и распоряжение муниципальным имуществом" </t>
  </si>
  <si>
    <t>Организация проведения работ по технической инвентаризации в отношении зданий, сооружений, помещений, объектов незавершенного строительства (Закупка товаров, работ и услуг для обеспечения государственных (муниципальных) нужд)</t>
  </si>
  <si>
    <t>Мероприятия по профилактике правонарушений, терроризма и экстремизма на территории Южского городского поселения (Закупка товаров, работ и услуг для обеспечения государственных (муниципальных) нужд)</t>
  </si>
  <si>
    <r>
      <t>Подпрограмма "Пожарная безопасность, развитие системы гражданской обороны, защита населения и территории Южского городского поселения от чрезвычайных ситуаций"</t>
    </r>
  </si>
  <si>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</si>
  <si>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Резервный фонд Администрации Южского муниципального района (Иные бюджетные ассигнования) </t>
  </si>
  <si>
    <t>02 7 02 00000</t>
  </si>
  <si>
    <t xml:space="preserve">Основное мероприятие "Обеспечение безопасности населения Южского городского поселения" </t>
  </si>
  <si>
    <t xml:space="preserve">Основное мероприятие "Обеспечение защиты населения и территории Южского городского поселения" </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</si>
  <si>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</si>
  <si>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 xml:space="preserve">01 2 01 20020 </t>
  </si>
  <si>
    <t xml:space="preserve">01 2 01 00010 </t>
  </si>
  <si>
    <t>01 2 01 S0340</t>
  </si>
  <si>
    <t xml:space="preserve">02 1 01 20080 </t>
  </si>
  <si>
    <t xml:space="preserve">02 2 01 20140 </t>
  </si>
  <si>
    <t>30 9 00 00210</t>
  </si>
  <si>
    <t>31 9 00 66010</t>
  </si>
  <si>
    <t xml:space="preserve">02 6 01 60030 </t>
  </si>
  <si>
    <t xml:space="preserve">01 1 02 20010   </t>
  </si>
  <si>
    <t xml:space="preserve">01 2 01 20030 </t>
  </si>
  <si>
    <t xml:space="preserve">01 2 01 20040 </t>
  </si>
  <si>
    <t xml:space="preserve">01 2 01 20050 </t>
  </si>
  <si>
    <t xml:space="preserve">02 1 01 20090 </t>
  </si>
  <si>
    <t xml:space="preserve">02 2 01 20160 </t>
  </si>
  <si>
    <t xml:space="preserve">02 2 01 20170 </t>
  </si>
  <si>
    <t xml:space="preserve">02 4 01 20210 </t>
  </si>
  <si>
    <t>02 7 01 20240</t>
  </si>
  <si>
    <t>02 7 02 20250</t>
  </si>
  <si>
    <t xml:space="preserve">03 1 01 20270 </t>
  </si>
  <si>
    <t xml:space="preserve">03 2 01 20280 </t>
  </si>
  <si>
    <t xml:space="preserve">03 2 01 20290 </t>
  </si>
  <si>
    <t xml:space="preserve">03 2 01 20300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</si>
  <si>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</si>
  <si>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Подпрограмма "Дорожная деятельность и транспортное обслуживание населения Южского городского поселения"</t>
  </si>
  <si>
    <t>Подпрограмма "Повышение безопасности дорожного движения в Южском городском поселении"</t>
  </si>
  <si>
    <t>Организация дополнительного пенсионного обеспечения отдельных категорий граждан  (Социальное обеспечение и   иные выплаты населению)</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</si>
  <si>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</si>
  <si>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Подпрограмма "Поддержка интеллектуального, творческого, духовно-нравственного и физического развития населения"</t>
  </si>
  <si>
    <t>Муниципальная программа Южского городского поселения "Развитие культуры в Южском городском поселении"</t>
  </si>
  <si>
    <r>
      <t xml:space="preserve">Муниципальная программа Южского городского поселения "Развитие инфраструктуры и улучшение жилищных условий граждан" </t>
    </r>
  </si>
  <si>
    <t xml:space="preserve">Муниципальная программа Южского городского поселения "Безопасный город" </t>
  </si>
  <si>
    <r>
      <t>Подпрограмма "Профилактика правонарушений, терроризма и экстремизма, а также минимизация и (или) ликвидация последствий проявления терроризма и экстремизма на территории Южского городского поселения"</t>
    </r>
  </si>
  <si>
    <t>Подпрограмма "Повышение доступности и качества предоставления муниципальных услуг населению города Южа в области жилищно-коммунальных услуг и дорожной деятельности муниципальным казенным учреждением "Управление городского хозяйства""</t>
  </si>
  <si>
    <t>02 8 00 00000</t>
  </si>
  <si>
    <t xml:space="preserve">Основное мероприятие "Организация предоставления муниципальных услуг на базе муниципального казенного учреждения "Управление городского хозяйства"" </t>
  </si>
  <si>
    <t>02 8 01 00000</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</si>
  <si>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</si>
  <si>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02 8 01 00220</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</si>
  <si>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</si>
  <si>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</si>
  <si>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</si>
  <si>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02 7 03 00000</t>
  </si>
  <si>
    <t>Наименование</t>
  </si>
  <si>
    <t>Целевая статья</t>
  </si>
  <si>
    <t>Вид расходов</t>
  </si>
  <si>
    <t>Непрограммные  направления  деятельности исполнительно-распорядительных  органов местного самоуправления</t>
  </si>
  <si>
    <t>31 0 00 00000</t>
  </si>
  <si>
    <t>Непрограммные направления деятельности  органов местного самоуправления</t>
  </si>
  <si>
    <t>30 0 00 00000</t>
  </si>
  <si>
    <t>02 3 02 00000</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</si>
  <si>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</si>
  <si>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</si>
  <si>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</si>
  <si>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Прочие мероприятия  в области благоустройства (Закупка товаров, работ и услуг для обеспечения государственных (муниципальных) нужд)</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</si>
  <si>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</si>
  <si>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Подпрограмма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</si>
  <si>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</si>
  <si>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</si>
  <si>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</si>
  <si>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</si>
  <si>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02 1 01 20120 </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</si>
  <si>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</si>
  <si>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02 1 01 20680</t>
  </si>
  <si>
    <t>Разработка дизайн-проектов по благоустройству территорий в Южском городском поселении (Закупка товаров, работ и услуг для обеспечения государственных (муниципальных) нужд)</t>
  </si>
  <si>
    <t>02 2 01 20480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</si>
  <si>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</si>
  <si>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</si>
  <si>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</si>
  <si>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</si>
  <si>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</si>
  <si>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</si>
  <si>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03 1 01 21090</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</si>
  <si>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</si>
  <si>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 xml:space="preserve">Основное мероприятие "Разработка и внесение изменений в документы территориального планирования и градостроительного зонирования Южского городского поселения" </t>
  </si>
  <si>
    <t>Ликвидация несанкционированных свалок (Закупка товаров, работ и услуг для обеспечения государственных (муниципальных) нужд)</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</si>
  <si>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</si>
  <si>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</si>
  <si>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02 7 03 21200</t>
  </si>
  <si>
    <t xml:space="preserve">Разработка карт для установления границ Южского городского поселения (Закупка товаров, работ и услуг для обеспечения государственных (муниципальных) нужд) </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</si>
  <si>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</si>
  <si>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</si>
  <si>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</si>
  <si>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02 2 01 21410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</si>
  <si>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</si>
  <si>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</si>
  <si>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Муниципальная программа Южского городского поселения "Формирование современной городской среды на территории Южского городского поселения"</t>
  </si>
  <si>
    <t>06 0 00 00000</t>
  </si>
  <si>
    <t>Подпрограмма "Водохозяйственные мероприятия на оз. Вазаль Южского муниципального района"</t>
  </si>
  <si>
    <t>02 9 00 00000</t>
  </si>
  <si>
    <t xml:space="preserve">Основное мероприятие "Проведение мероприятий, направленных на содержание плотины на р. Пионерка (оз. Вазаль)" </t>
  </si>
  <si>
    <t>02 9 01 00000</t>
  </si>
  <si>
    <t>Подпрограмма "Благоустройство дворовых и общественных территорий"</t>
  </si>
  <si>
    <t>06 1 00 00000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</si>
  <si>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</si>
  <si>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</si>
  <si>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</si>
  <si>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</si>
  <si>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02 9 01 60060</t>
  </si>
  <si>
    <t>Основное мероприятие "Муниципальный проект благоустройства общественных пространств"</t>
  </si>
  <si>
    <t>06 1 01 00000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</si>
  <si>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</si>
  <si>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</si>
  <si>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</si>
  <si>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02 2 01 20150</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</si>
  <si>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</si>
  <si>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02 3 01 20690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</si>
  <si>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</si>
  <si>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02 2 01 20490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</si>
  <si>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</si>
  <si>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02 2 01 21260</t>
  </si>
  <si>
    <t>Сумма, руб.</t>
  </si>
  <si>
    <t xml:space="preserve">к решению Совета  </t>
  </si>
  <si>
    <t>Южского городского</t>
  </si>
  <si>
    <t>поселения Южского</t>
  </si>
  <si>
    <t>муниципального района</t>
  </si>
  <si>
    <r>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r>
    <r>
      <rPr>
        <i/>
        <sz val="14"/>
        <rFont val="Times New Roman"/>
        <family val="1"/>
      </rPr>
      <t xml:space="preserve"> </t>
    </r>
  </si>
  <si>
    <r>
      <t>Всего:</t>
    </r>
    <r>
      <rPr>
        <b/>
        <i/>
        <sz val="14"/>
        <rFont val="Times New Roman"/>
        <family val="1"/>
      </rPr>
      <t xml:space="preserve"> </t>
    </r>
  </si>
  <si>
    <t xml:space="preserve">02 7 01 21740 </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</si>
  <si>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</si>
  <si>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</si>
  <si>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</si>
  <si>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</si>
  <si>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</si>
  <si>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</si>
  <si>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</si>
  <si>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</si>
  <si>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</si>
  <si>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</si>
  <si>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</si>
  <si>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</si>
  <si>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02 2 01 21810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</si>
  <si>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</si>
  <si>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02 2 01 21820</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</si>
  <si>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</si>
  <si>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</si>
  <si>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</si>
  <si>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 xml:space="preserve">Основное мероприятие "Организация регулярных перевозок по регулируемым тарифам" </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</si>
  <si>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</si>
  <si>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</si>
  <si>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</si>
  <si>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</si>
  <si>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</si>
  <si>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"О бюджете Южского
городского поселения
на 2023 год и на плановый
период 2024 и 2025 годов"</t>
  </si>
  <si>
    <t>Распределение бюджетных ассигнований бюджета Южского городского поселения по целевым статьям (муниципальным программам Южского городского поселения и не включенным  в муниципальные программы Южского городского поселения направлениям деятельности органов местного самоуправления Южского городского поселения и  исполнительно-распорядительных  органов местного самоуправления Южского муниципального района), группам видов расходов классификации расходов бюджетов на 2023 год</t>
  </si>
  <si>
    <t>Рекультивация свалки твердых бытовых отходов (Закупка товаров, работ и услуг для обеспечения государственных (муниципальных) нужд)</t>
  </si>
  <si>
    <t xml:space="preserve">02 2 01 20180 </t>
  </si>
  <si>
    <t>Основное мероприятие "Организация в границах поселения водоотведения"</t>
  </si>
  <si>
    <t xml:space="preserve">Приобретение материалов для ремонта системы водоотведения – канализационных сетей по адресу: г. Южа, ул. Текстильщиков, Советская, Речная, проезд Советский, проезд Глушицкий, Арсеньевка. (Закупка товаров, работ и услуг для обеспечения государственных (муниципальных) нужд) </t>
  </si>
  <si>
    <t>02 1 02 22010</t>
  </si>
  <si>
    <t>02 1 02 00000</t>
  </si>
  <si>
    <t xml:space="preserve">Приобретение материалов для ремонта системы водоснабжения – водопроводных сетей по адресу: г. Южа, ул. Пушкина, Калинина, Осипенко, Стандартные Дома, Горького, Чапаева, Тельмана, Фридриха Энгельса, Станционная, Серп и Молот, Владимирская, Одесская, Севастопольская, пл. Ленина, Дачная, Дача, 6-я Рабочая, 4-я Рабочая, Куйбышева, проезд Советский, Красная, Ковровская, Революции, Механизаторов, Футбольная, Серова, Чкалова, Мира, Южная, Стадионная, Чехова, Суворова, Кутузова, Чернышевского, Чапаева, Новая, Ивановская, Дзержинского, Вокзальная, Ленина, Арсеньевка, Герцена, Прогонная, Северная, Лесная, Фрунзе, Полевая, Московская, Советская, Текстильщиков, Черняховского, Базарная, проезд Глушицкий, проезд Школьный. (Закупка товаров, работ и услуг для обеспечения государственных (муниципальных) нужд) </t>
  </si>
  <si>
    <t>02 1 01 22000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</si>
  <si>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</si>
  <si>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02 3 01 S0510</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</si>
  <si>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</si>
  <si>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</si>
  <si>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</si>
  <si>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01 2 01 S1980</t>
  </si>
  <si>
    <t>Основное мероприятие "Муниципальный проект "Формирование комфортной городской среды""</t>
  </si>
  <si>
    <t>06 1 F2 00000</t>
  </si>
  <si>
    <t>Реализация программ формирования современной городской среды  (Закупка товаров, работ и услуг для обеспечения государственных (муниципальных) нужд)</t>
  </si>
  <si>
    <t>06 1 F2 55550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</si>
  <si>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</si>
  <si>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02 2 01 21980</t>
  </si>
  <si>
    <t>Ивановской области</t>
  </si>
  <si>
    <t>Обеспечение функционирования Совета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</si>
  <si>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Совета Южского городского поселения Южского муниципального района Ивановской области (Закупка товаров, работ и услуг для обеспечения государственных (муниципальных) нужд)</t>
  </si>
  <si>
    <t>от 23.12.2022 № 95</t>
  </si>
  <si>
    <t>к решению Совета Южского</t>
  </si>
  <si>
    <t>городского поселения</t>
  </si>
  <si>
    <t xml:space="preserve">Южского муниципального района </t>
  </si>
  <si>
    <t>"О внесении изменений и дополнений 
в решение Совета Южского городского   
поселения от 23.12.2022 № 95   
"О бюджете Южского городского</t>
  </si>
  <si>
    <t xml:space="preserve"> поселения на 2023 год и на</t>
  </si>
  <si>
    <t>плановый период 2024 и 2025 годов""</t>
  </si>
  <si>
    <t>"Приложение № 4</t>
  </si>
  <si>
    <t>"</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</si>
  <si>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</si>
  <si>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</si>
  <si>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02 2 01 40050</t>
  </si>
  <si>
    <t>Обустройство наружным искусственным освещением ул. Текстильщиков г. Южа Ивановской области (Капитальные вложения в объекты государственной (муниципальной) собственности)</t>
  </si>
  <si>
    <t>02 3 01 21640</t>
  </si>
  <si>
    <t>02 3 01 40040</t>
  </si>
  <si>
    <t>Выполнение работ по обустройству тротуара по четной и нечетной стороне автомобильной дороги на ул. Глушицкий проезд (по решению суда № 2-503/2017 от 01.12.2017г.) (Капитальные вложения в объекты государственной (муниципальной) собственности)</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</si>
  <si>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</si>
  <si>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31 9 00 90510</t>
  </si>
  <si>
    <t>31 9 00 90540</t>
  </si>
  <si>
    <t>31 9 00 90550</t>
  </si>
  <si>
    <t>Оплата судебных расходов по делу № А17-8240/2021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</si>
  <si>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от 09.12.2022 года № 37025/22/112816 исполнительное производство № 29751/19/37025-ИП от 04.09.2019 г. по АД № 81/22/37025-АП от 28.11.2022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</si>
  <si>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29.12.2022 года. Исполнительное производство № 64851/22/37023-ИП от 08.11.2022 г., решение Палехского районного суда № 2а-241/2022 от 07.06.2022 (Иные бюджетные ассигнования)</t>
  </si>
  <si>
    <t>02 3 01 22090</t>
  </si>
  <si>
    <t>Оказание услуг по проверке объема и качества выполненных работ в рамках ремонта автомобильных дорог по ул. Глушицкий проезд и ул. Серп-Молот (Закупка товаров, работ и услуг для обеспечения государственных (муниципальных) нужд)</t>
  </si>
  <si>
    <t>06 1 01 22040</t>
  </si>
  <si>
    <t>06 1 01 22050</t>
  </si>
  <si>
    <t>06 1 01 22060</t>
  </si>
  <si>
    <t>06 1 01 22070</t>
  </si>
  <si>
    <t>06 1 01 22080</t>
  </si>
  <si>
    <t>Оказание услуг по осуществлению строительного контроля по объекту: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</si>
  <si>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</si>
  <si>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</si>
  <si>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по адресу: г. Южа, ул. Советская, около МКД № 16"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</si>
  <si>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</si>
  <si>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06 1 F2 S5104</t>
  </si>
  <si>
    <t>06 1 F2 S5105</t>
  </si>
  <si>
    <t>06 1 F2 S5106</t>
  </si>
  <si>
    <t>06 1 F2 S5107</t>
  </si>
  <si>
    <t>06 1 F2 S5108</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</si>
  <si>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"Дружный" в районе улиц Серова, Горького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</si>
  <si>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бетонной площадки на территории ТОС "Исток" по адресу: г. Южа, ул. Маяковского)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</si>
  <si>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Вокзальная)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</si>
  <si>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по адресу: г. Южа, ул. Советская, около МКД №16)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</si>
  <si>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возле сельского Дома культуры по адресу: д. Нефёдово, ул. Центральная) (Закупка товаров, работ и услуг для обеспечения государственных (муниципальных) нужд)</t>
  </si>
  <si>
    <t>31 9 00 90560</t>
  </si>
  <si>
    <t>31 9 00 90570</t>
  </si>
  <si>
    <t>Оплата исполнительского сбора по постановлению должностного лица МОСП по ИОИП Управления Федеральной службы судебных приставов по Ивановской области от 24.01.2023 года. Исполнительное производство № 3121/23/37025-ИП от 31.01.2023г. по делу № 38074/22/37025-ИП от 24.01.2023г. (Иные бюджетные ассигнования)</t>
  </si>
  <si>
    <t>Оплата административного штрафа (в соответствии с постановлением по делу об административном правонарушении от 24.01.2023 года, АД № 1357/23/37023-АП от 18.01.2023) (Иные бюджетные ассигнования)</t>
  </si>
  <si>
    <t>02 1 01 40070</t>
  </si>
  <si>
    <t>Строительство магистральных линий водоснабжения по ул. Ивановская, ул. Дзержинского, ул. Футбольная г. Южа, по Решениям Палехского районного суда Ивановской области от 23.12.2021 года по делу № 2а-1195/2021, от 29.12.2021 года по делу № 2а-1192/2021, от 29.12.2021 года по делу № 2а-1193/2021 (Капитальные вложения в объекты государственной (муниципальной) собственности)</t>
  </si>
  <si>
    <t>02 2 01 22110</t>
  </si>
  <si>
    <t>Обеспечение надлежащего функционирования системы приема дренажных вод и поверхностного стока в Южском городском поселении  (Закупка товаров, работ и услуг для обеспечения государственных (муниципальных) нужд)</t>
  </si>
  <si>
    <t>02 2 01 40060</t>
  </si>
  <si>
    <t>Разработка проектно-сметной документации и строительство линии наружного искусственного освещения ул. Механизаторов г. Южа (по решению Палехского районного суда Ивановской области от 28.10.2022 № 2-731/2022) (Капитальные вложения в объекты государственной (муниципальной) собственности)</t>
  </si>
  <si>
    <t>06 1 01 22100</t>
  </si>
  <si>
    <t>Оказание услуг по осуществлению строительного контроля по объекту: "Выполнение работ по комплексному благоустройству городского центра города Южи. Этап 2. Территория № 4 (Городской сад в городе Южа с прилегающей территорией Народного Дома культуры и ул. Советская)"  (Закупка товаров, работ и услуг для обеспечения государственных (муниципальных) нужд)</t>
  </si>
  <si>
    <t>31 9 00 90580</t>
  </si>
  <si>
    <t>Исполнительский сбор (в соответствии с постановлением о взыскании исполнительского сбора по исполнительному производству неимущественного характера и установлении нового срока исполнения от 02.03.2023 года, № 56117/22/37023-ИП от 22.09.2022) (Иные бюджетные ассигнования)</t>
  </si>
  <si>
    <t xml:space="preserve">Обеспечение функционирования главы Южского городского поселения Южского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</si>
  <si>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31 9 00 90590</t>
  </si>
  <si>
    <t>31 9 00 90600</t>
  </si>
  <si>
    <t>Оплата исполнительского сбора по постановлению должностного лица УФССП по Ивановской области от 07.03.2023 года. Исполнительное производство № 65272/22/37023-ИП от 08.11.2022 г. по делу № 37023/22/131447 от 25.09.2021 г.  (Иные бюджетные ассигнования)</t>
  </si>
  <si>
    <t>Оплата штрафа по постановлению по делу об административном правонарушении должностного лица Управления ФССП России по Ивановской области ОСП по Южскому, Палехскому и Пестяковскому районам от 05.08.2021 года, исполнительное производство № 65272/22/37023-ИП от 08.11.2022 г. по делу  № 37023/22/131447 от 25.09.2021 г. (Иные бюджетные ассигнования)</t>
  </si>
  <si>
    <t>31 9 00 90610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</si>
  <si>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37023/23/333964. Исполнительное производство № 69979/22/37023-ИП от 01.12.2022 г. (Иные бюджетные ассигнования)</t>
  </si>
  <si>
    <t>31 9 00 90620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</si>
  <si>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37023/23/334149. Исполнительное производство № 62236/22/37023-ИП от 21.10.2022 г. (Иные бюджетные ассигнования)</t>
  </si>
  <si>
    <t>31 9 00 90630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</si>
  <si>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 37023/23/334188. Исполнительное производство № 62320/22/37023-ИП от 21.10.2022 г.  (Иные бюджетные ассигнования)</t>
  </si>
  <si>
    <t>02 2 01 40080</t>
  </si>
  <si>
    <t>Выполнение работ по разработке проектно-сметной документации и реконструкция линии уличного освещения пешеходного перехода, расположенного на перекрестке ул. Лермонтова и ул. Пушкина г. Южа Ивановской области (по решению суда № 2-160/2023 от 10.03.2023) (Капитальные вложения в объекты государственной (муниципальной) собственности)</t>
  </si>
  <si>
    <t>31 9 00 90640</t>
  </si>
  <si>
    <t>31 9 00 90650</t>
  </si>
  <si>
    <t>31 9 00 90660</t>
  </si>
  <si>
    <t>Оплата штрафа по постановлению по делу об административном правонарушении должностного лица Управления ФССП России по Ивановской области от 23.03.2023 года. Исполнительное производство № 23432/20/37023-ИП от 16.07.2020 г. по АД № 1367/23/37023-АП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</si>
  <si>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22.03.2023 года, АД № 1366/23/37023-АП от 15.03.2023) (Иные бюджетные ассигнования)</t>
  </si>
  <si>
    <t>Оплата административного штрафа (в соответствии с постановлением по делу об административном правонарушении от 23.03.2023 года, АД № 1368/23/37023-АП от 15.03.2023) (Иные бюджетные ассигнования)</t>
  </si>
  <si>
    <t>31 9 00 90670</t>
  </si>
  <si>
    <t>31 9 00 90680</t>
  </si>
  <si>
    <t>Оплата исполнительского сбора в соответствии с ИП № 62237/22/37023-ИП от 02.03.2023г. (Иные бюджетные ассигнования)</t>
  </si>
  <si>
    <t>Оплата исполнительского сбора в соответствии с ИП № 62319/22/37023-ИП от 02.03.2023г.  (Иные бюджетные ассигнования)</t>
  </si>
  <si>
    <t>02 1 01 21860</t>
  </si>
  <si>
    <t>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 (Закупка товаров, работ и услуг для обеспечения государственных (муниципальных) нужд)</t>
  </si>
  <si>
    <t>02 3 01 22120</t>
  </si>
  <si>
    <t>Оказание услуг по проверке объема и качества выполненных работ в рамках ремонта автомобильной дороги по ул. Горького г. Южа (Закупка товаров, работ и услуг для обеспечения государственных (муниципальных) нужд)</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</si>
  <si>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</si>
  <si>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</si>
  <si>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31 9 00 90690</t>
  </si>
  <si>
    <t>31 9 00 90700</t>
  </si>
  <si>
    <t>31 9 00 90710</t>
  </si>
  <si>
    <t>31 9 00 90720</t>
  </si>
  <si>
    <t>Оплата задолженности в пользу ООО "Объединенные котельные" по решению Арбитражного суда Ивановской области по делу № А17-9042/2022 от 26.04.2023 г.  (Иные бюджетные ассигнования)</t>
  </si>
  <si>
    <t xml:space="preserve">Оплата задолженности в пользу ООО "Объединенные котельные" по решению Арбитражного суда Ивановской области по делу № А17-9042/2022 от 26.04.2023 г. (Закупка товаров, работ и услуг для обеспечения государственных (муниципальных) нужд) </t>
  </si>
  <si>
    <t>Судебные расходы, связанные с оплатой услуг представителя при рассмотрении дела № А17-8240/2021 от 29.03.2023 (Иные бюджетные ассигнования)</t>
  </si>
  <si>
    <t>Оплата исполнительного сбора в рамках исполнительного производства № 78399/22/37023-ИП (по решению суда № 2-209/2023 от 16.03.2023) (Иные бюджетные ассигнования)</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</si>
  <si>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02.03.2023 года. Исполнительное производство № 56118/22/37023-ИП от 22.09.2022г. Решение суда по делу № 2-237/2023 от 30.03.2023 г. (Иные бюджетные ассигнования)</t>
  </si>
  <si>
    <t>31 9 00 90730</t>
  </si>
  <si>
    <t>Оплата исполнительского сбора по постановлению должностного лица УФССП по Ивановской области ОСП по Южскому, Палехскому и Пестяковскому районам от 14.02.2023 года. Исполнительное производство № 78398/22/37023-ИП от 09.01.2023 г. Решение суда по делу № 2-208/2023 от 05.04.2023 г.  (Иные бюджетные ассигнования)</t>
  </si>
  <si>
    <t>Приложение № 2</t>
  </si>
  <si>
    <t>от 19.06.2023 № 37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</si>
</sst>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1"/>
      <color theme="1"/>
      <name val="Calibri"/>
      <family val="2"/>
    </font>
    <font>
      <sz val="11"/>
      <color indexed="8"/>
      <name val="Calibri"/>
      <family val="2"/>
    </font>
    <font>
      <i/>
      <sz val="10"/>
      <color indexed="56"/>
      <name val="Times New Roman"/>
      <family val="1"/>
    </font>
    <font>
      <i/>
      <sz val="10"/>
      <color indexed="8"/>
      <name val="Times New Roman"/>
      <family val="1"/>
    </font>
    <font>
      <b/>
      <sz val="14"/>
      <color indexed="56"/>
      <name val="Times New Roman"/>
      <family val="1"/>
    </font>
    <font>
      <i/>
      <sz val="11"/>
      <name val="Times New Roman"/>
      <family val="1"/>
    </font>
    <font>
      <sz val="14"/>
      <name val="Times New Roman"/>
      <family val="1"/>
    </font>
    <font>
      <b/>
      <sz val="14"/>
      <name val="Times New Roman"/>
      <family val="1"/>
    </font>
    <font>
      <i/>
      <sz val="14"/>
      <name val="Times New Roman"/>
      <family val="1"/>
    </font>
    <font>
      <b/>
      <i/>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Font="1" applyAlignment="1">
      <alignment/>
    </xf>
    <xf numFmtId="0" fontId="6" fillId="33" borderId="0" xfId="0" applyFont="1" applyFill="1" applyAlignment="1">
      <alignment/>
    </xf>
    <xf numFmtId="0" fontId="6" fillId="33" borderId="0" xfId="0" applyFont="1" applyFill="1" applyAlignment="1">
      <alignment vertical="center"/>
    </xf>
    <xf numFmtId="11" fontId="7" fillId="33" borderId="0" xfId="0" applyNumberFormat="1" applyFont="1" applyFill="1" applyBorder="1" applyAlignment="1">
      <alignment horizontal="center" vertical="top" wrapText="1"/>
    </xf>
    <xf numFmtId="0" fontId="6" fillId="33" borderId="0" xfId="0" applyFont="1" applyFill="1" applyBorder="1" applyAlignment="1">
      <alignment vertical="center"/>
    </xf>
    <xf numFmtId="1" fontId="6" fillId="33" borderId="10" xfId="0" applyNumberFormat="1" applyFont="1" applyFill="1" applyBorder="1" applyAlignment="1">
      <alignment horizontal="center" vertical="center"/>
    </xf>
    <xf numFmtId="49" fontId="6" fillId="33" borderId="10" xfId="0" applyNumberFormat="1" applyFont="1" applyFill="1" applyBorder="1" applyAlignment="1">
      <alignment horizontal="center" vertical="top" wrapText="1"/>
    </xf>
    <xf numFmtId="0" fontId="6" fillId="33" borderId="11" xfId="0" applyFont="1" applyFill="1" applyBorder="1" applyAlignment="1">
      <alignment horizontal="center" vertical="center"/>
    </xf>
    <xf numFmtId="1" fontId="6" fillId="33" borderId="11" xfId="0" applyNumberFormat="1" applyFont="1" applyFill="1" applyBorder="1" applyAlignment="1">
      <alignment horizontal="center" vertical="center"/>
    </xf>
    <xf numFmtId="0" fontId="6" fillId="33" borderId="11" xfId="0" applyFont="1" applyFill="1" applyBorder="1" applyAlignment="1">
      <alignment horizontal="center"/>
    </xf>
    <xf numFmtId="0" fontId="6" fillId="33" borderId="0" xfId="0" applyFont="1" applyFill="1" applyAlignment="1">
      <alignment horizontal="center"/>
    </xf>
    <xf numFmtId="0" fontId="7" fillId="33" borderId="11" xfId="0" applyFont="1" applyFill="1" applyBorder="1" applyAlignment="1">
      <alignment horizontal="justify" vertical="top" wrapText="1"/>
    </xf>
    <xf numFmtId="0" fontId="7" fillId="33" borderId="11" xfId="0" applyFont="1" applyFill="1" applyBorder="1" applyAlignment="1">
      <alignment horizontal="center" vertical="center"/>
    </xf>
    <xf numFmtId="4" fontId="7" fillId="33" borderId="11" xfId="0" applyNumberFormat="1" applyFont="1" applyFill="1" applyBorder="1" applyAlignment="1">
      <alignment vertical="center"/>
    </xf>
    <xf numFmtId="0" fontId="7" fillId="33" borderId="0" xfId="0" applyFont="1" applyFill="1" applyAlignment="1">
      <alignment vertical="center"/>
    </xf>
    <xf numFmtId="0" fontId="7" fillId="33" borderId="0" xfId="0" applyFont="1" applyFill="1" applyAlignment="1">
      <alignment/>
    </xf>
    <xf numFmtId="0" fontId="8" fillId="33" borderId="11" xfId="0" applyNumberFormat="1" applyFont="1" applyFill="1" applyBorder="1" applyAlignment="1">
      <alignment horizontal="justify" vertical="top" wrapText="1"/>
    </xf>
    <xf numFmtId="0" fontId="8" fillId="33" borderId="11" xfId="0" applyFont="1" applyFill="1" applyBorder="1" applyAlignment="1">
      <alignment horizontal="center" vertical="center"/>
    </xf>
    <xf numFmtId="4" fontId="8" fillId="33" borderId="11" xfId="0" applyNumberFormat="1" applyFont="1" applyFill="1" applyBorder="1" applyAlignment="1">
      <alignment vertical="center"/>
    </xf>
    <xf numFmtId="0" fontId="8" fillId="33" borderId="0" xfId="0" applyFont="1" applyFill="1" applyAlignment="1">
      <alignment/>
    </xf>
    <xf numFmtId="0" fontId="6" fillId="33" borderId="11" xfId="0" applyNumberFormat="1" applyFont="1" applyFill="1" applyBorder="1" applyAlignment="1">
      <alignment horizontal="justify" vertical="top" wrapText="1"/>
    </xf>
    <xf numFmtId="4" fontId="6" fillId="33" borderId="11" xfId="0" applyNumberFormat="1" applyFont="1" applyFill="1" applyBorder="1" applyAlignment="1">
      <alignment vertical="center"/>
    </xf>
    <xf numFmtId="0" fontId="8" fillId="33" borderId="11" xfId="0" applyFont="1" applyFill="1" applyBorder="1" applyAlignment="1">
      <alignment horizontal="justify" vertical="top" wrapText="1"/>
    </xf>
    <xf numFmtId="0" fontId="6" fillId="33" borderId="11" xfId="0" applyFont="1" applyFill="1" applyBorder="1" applyAlignment="1">
      <alignment horizontal="justify" vertical="top" wrapText="1"/>
    </xf>
    <xf numFmtId="4" fontId="6" fillId="33" borderId="11" xfId="0" applyNumberFormat="1" applyFont="1" applyFill="1" applyBorder="1" applyAlignment="1">
      <alignment horizontal="right" vertical="center"/>
    </xf>
    <xf numFmtId="49" fontId="6" fillId="33" borderId="0" xfId="0" applyNumberFormat="1" applyFont="1" applyFill="1" applyAlignment="1">
      <alignment horizontal="center" vertical="center"/>
    </xf>
    <xf numFmtId="0" fontId="9" fillId="33" borderId="11" xfId="0" applyFont="1" applyFill="1" applyBorder="1" applyAlignment="1">
      <alignment horizontal="center" vertical="center"/>
    </xf>
    <xf numFmtId="0" fontId="9" fillId="33" borderId="0" xfId="0" applyFont="1" applyFill="1" applyAlignment="1">
      <alignment/>
    </xf>
    <xf numFmtId="3" fontId="6" fillId="33" borderId="11" xfId="0" applyNumberFormat="1" applyFont="1" applyFill="1" applyBorder="1" applyAlignment="1">
      <alignment horizontal="center" vertical="center"/>
    </xf>
    <xf numFmtId="49" fontId="7" fillId="33" borderId="11" xfId="0" applyNumberFormat="1" applyFont="1" applyFill="1" applyBorder="1" applyAlignment="1">
      <alignment horizontal="justify" vertical="top" wrapText="1"/>
    </xf>
    <xf numFmtId="2" fontId="47" fillId="33" borderId="12" xfId="0" applyNumberFormat="1" applyFont="1" applyFill="1" applyBorder="1" applyAlignment="1">
      <alignment horizontal="justify" vertical="top" wrapText="1"/>
    </xf>
    <xf numFmtId="0" fontId="47" fillId="33" borderId="12" xfId="0" applyFont="1" applyFill="1" applyBorder="1" applyAlignment="1">
      <alignment horizontal="justify" vertical="top" wrapText="1"/>
    </xf>
    <xf numFmtId="0" fontId="47" fillId="33" borderId="0" xfId="0" applyFont="1" applyFill="1" applyAlignment="1">
      <alignment horizontal="justify" vertical="top" wrapText="1"/>
    </xf>
    <xf numFmtId="0" fontId="6" fillId="33" borderId="0" xfId="0" applyFont="1" applyFill="1" applyAlignment="1">
      <alignment horizontal="center" vertical="center"/>
    </xf>
    <xf numFmtId="4" fontId="6" fillId="33" borderId="0" xfId="0" applyNumberFormat="1" applyFont="1" applyFill="1" applyAlignment="1">
      <alignment horizontal="right"/>
    </xf>
    <xf numFmtId="0" fontId="7" fillId="33" borderId="0" xfId="0" applyFont="1" applyFill="1" applyAlignment="1">
      <alignment horizontal="center"/>
    </xf>
    <xf numFmtId="0" fontId="7" fillId="33" borderId="0" xfId="0" applyFont="1" applyFill="1" applyAlignment="1">
      <alignment horizontal="center" vertical="center"/>
    </xf>
    <xf numFmtId="4" fontId="7" fillId="33" borderId="0" xfId="0" applyNumberFormat="1" applyFont="1" applyFill="1" applyAlignment="1">
      <alignment/>
    </xf>
    <xf numFmtId="0" fontId="7" fillId="33" borderId="0" xfId="0" applyFont="1" applyFill="1" applyBorder="1" applyAlignment="1">
      <alignment horizontal="right" vertical="top" wrapText="1"/>
    </xf>
    <xf numFmtId="0" fontId="7" fillId="33" borderId="0" xfId="0" applyFont="1" applyFill="1" applyAlignment="1">
      <alignment horizontal="right"/>
    </xf>
    <xf numFmtId="0" fontId="47" fillId="33" borderId="11" xfId="0" applyFont="1" applyFill="1" applyBorder="1" applyAlignment="1">
      <alignment horizontal="justify" vertical="top" wrapText="1"/>
    </xf>
    <xf numFmtId="0" fontId="6" fillId="33" borderId="10" xfId="0" applyFont="1" applyFill="1" applyBorder="1" applyAlignment="1">
      <alignment horizontal="center" vertical="center"/>
    </xf>
    <xf numFmtId="4" fontId="6" fillId="33" borderId="10" xfId="0" applyNumberFormat="1" applyFont="1" applyFill="1" applyBorder="1" applyAlignment="1">
      <alignment vertical="center"/>
    </xf>
    <xf numFmtId="0" fontId="6" fillId="33" borderId="0" xfId="0" applyFont="1" applyFill="1" applyAlignment="1">
      <alignment horizontal="right"/>
    </xf>
    <xf numFmtId="0" fontId="6" fillId="33" borderId="0" xfId="0" applyFont="1" applyFill="1" applyAlignment="1">
      <alignment horizontal="right" wrapText="1"/>
    </xf>
    <xf numFmtId="0" fontId="7" fillId="33" borderId="11" xfId="0" applyFont="1" applyFill="1" applyBorder="1" applyAlignment="1">
      <alignment horizontal="left" vertical="center" wrapText="1"/>
    </xf>
    <xf numFmtId="0" fontId="6" fillId="33" borderId="0" xfId="0" applyFont="1" applyFill="1" applyBorder="1" applyAlignment="1">
      <alignment horizontal="right"/>
    </xf>
    <xf numFmtId="0" fontId="6" fillId="33" borderId="0" xfId="0" applyFont="1" applyFill="1" applyBorder="1" applyAlignment="1">
      <alignment horizontal="right" vertical="top" wrapText="1"/>
    </xf>
    <xf numFmtId="2" fontId="7" fillId="33" borderId="0"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86"/>
  <sheetViews>
    <sheetView tabSelected="1" zoomScale="90" zoomScaleNormal="90" zoomScalePageLayoutView="0" workbookViewId="0" topLeftCell="A1">
      <selection activeCell="A1" sqref="A1:IV16384"/>
    </sheetView>
  </sheetViews>
  <sheetFormatPr defaultColWidth="9.140625" defaultRowHeight="15"/>
  <cols>
    <col min="1" max="1" width="62.57421875" style="1" customWidth="1"/>
    <col min="2" max="2" width="18.7109375" style="10" customWidth="1"/>
    <col min="3" max="3" width="6.140625" style="33" customWidth="1"/>
    <col min="4" max="4" width="19.8515625" style="1" customWidth="1"/>
    <col min="5" max="5" width="12.7109375" style="1" customWidth="1"/>
    <col min="6" max="16384" width="9.140625" style="1" customWidth="1"/>
  </cols>
  <sheetData>
    <row r="1" spans="1:4" ht="18.75">
      <c r="A1" s="43" t="s">
        <v>323</v>
      </c>
      <c r="B1" s="43"/>
      <c r="C1" s="43"/>
      <c r="D1" s="43"/>
    </row>
    <row r="2" spans="1:4" ht="18.75">
      <c r="A2" s="43" t="s">
        <v>225</v>
      </c>
      <c r="B2" s="43"/>
      <c r="C2" s="43"/>
      <c r="D2" s="43"/>
    </row>
    <row r="3" spans="1:4" ht="18.75">
      <c r="A3" s="43" t="s">
        <v>226</v>
      </c>
      <c r="B3" s="43"/>
      <c r="C3" s="43"/>
      <c r="D3" s="43"/>
    </row>
    <row r="4" spans="1:4" ht="18.75">
      <c r="A4" s="43" t="s">
        <v>227</v>
      </c>
      <c r="B4" s="43"/>
      <c r="C4" s="43"/>
      <c r="D4" s="43"/>
    </row>
    <row r="5" spans="1:4" ht="18.75">
      <c r="A5" s="43" t="s">
        <v>221</v>
      </c>
      <c r="B5" s="43"/>
      <c r="C5" s="43"/>
      <c r="D5" s="43"/>
    </row>
    <row r="6" spans="1:4" ht="78.75" customHeight="1">
      <c r="A6" s="44" t="s">
        <v>228</v>
      </c>
      <c r="B6" s="43"/>
      <c r="C6" s="43"/>
      <c r="D6" s="43"/>
    </row>
    <row r="7" spans="1:4" ht="18.75">
      <c r="A7" s="43" t="s">
        <v>229</v>
      </c>
      <c r="B7" s="43"/>
      <c r="C7" s="43"/>
      <c r="D7" s="43"/>
    </row>
    <row r="8" spans="1:4" ht="18.75">
      <c r="A8" s="43" t="s">
        <v>230</v>
      </c>
      <c r="B8" s="43"/>
      <c r="C8" s="43"/>
      <c r="D8" s="43"/>
    </row>
    <row r="9" spans="1:4" ht="18.75">
      <c r="A9" s="43" t="s">
        <v>324</v>
      </c>
      <c r="B9" s="43"/>
      <c r="C9" s="43"/>
      <c r="D9" s="43"/>
    </row>
    <row r="12" spans="1:4" ht="18.75">
      <c r="A12" s="46" t="s">
        <v>231</v>
      </c>
      <c r="B12" s="46"/>
      <c r="C12" s="46"/>
      <c r="D12" s="46"/>
    </row>
    <row r="13" spans="1:4" ht="18.75">
      <c r="A13" s="46" t="s">
        <v>168</v>
      </c>
      <c r="B13" s="46"/>
      <c r="C13" s="46"/>
      <c r="D13" s="46"/>
    </row>
    <row r="14" spans="1:4" ht="18.75">
      <c r="A14" s="46" t="s">
        <v>169</v>
      </c>
      <c r="B14" s="46"/>
      <c r="C14" s="46"/>
      <c r="D14" s="46"/>
    </row>
    <row r="15" spans="1:4" ht="18.75">
      <c r="A15" s="46" t="s">
        <v>170</v>
      </c>
      <c r="B15" s="46"/>
      <c r="C15" s="46"/>
      <c r="D15" s="46"/>
    </row>
    <row r="16" spans="1:4" ht="18.75">
      <c r="A16" s="46" t="s">
        <v>171</v>
      </c>
      <c r="B16" s="46"/>
      <c r="C16" s="46"/>
      <c r="D16" s="46"/>
    </row>
    <row r="17" spans="1:4" ht="18.75">
      <c r="A17" s="46" t="s">
        <v>221</v>
      </c>
      <c r="B17" s="46"/>
      <c r="C17" s="46"/>
      <c r="D17" s="46"/>
    </row>
    <row r="18" spans="1:4" ht="78" customHeight="1">
      <c r="A18" s="47" t="s">
        <v>199</v>
      </c>
      <c r="B18" s="47"/>
      <c r="C18" s="47"/>
      <c r="D18" s="47"/>
    </row>
    <row r="19" spans="1:4" ht="21" customHeight="1">
      <c r="A19" s="46" t="s">
        <v>224</v>
      </c>
      <c r="B19" s="46"/>
      <c r="C19" s="46"/>
      <c r="D19" s="46"/>
    </row>
    <row r="22" spans="1:4" s="2" customFormat="1" ht="138" customHeight="1">
      <c r="A22" s="48" t="s">
        <v>200</v>
      </c>
      <c r="B22" s="48"/>
      <c r="C22" s="48"/>
      <c r="D22" s="48"/>
    </row>
    <row r="23" spans="1:4" s="4" customFormat="1" ht="14.25" customHeight="1">
      <c r="A23" s="3"/>
      <c r="B23" s="3"/>
      <c r="C23" s="3"/>
      <c r="D23" s="3"/>
    </row>
    <row r="24" spans="1:4" ht="78" customHeight="1">
      <c r="A24" s="5" t="s">
        <v>99</v>
      </c>
      <c r="B24" s="5" t="s">
        <v>100</v>
      </c>
      <c r="C24" s="6" t="s">
        <v>101</v>
      </c>
      <c r="D24" s="7" t="s">
        <v>167</v>
      </c>
    </row>
    <row r="25" spans="1:4" s="10" customFormat="1" ht="18.75">
      <c r="A25" s="8">
        <v>1</v>
      </c>
      <c r="B25" s="8">
        <v>2</v>
      </c>
      <c r="C25" s="8">
        <v>3</v>
      </c>
      <c r="D25" s="9">
        <v>4</v>
      </c>
    </row>
    <row r="26" spans="1:4" s="14" customFormat="1" ht="61.5" customHeight="1">
      <c r="A26" s="11" t="s">
        <v>85</v>
      </c>
      <c r="B26" s="12" t="s">
        <v>0</v>
      </c>
      <c r="C26" s="12"/>
      <c r="D26" s="13">
        <f>D27+D30</f>
        <v>30288473.979999997</v>
      </c>
    </row>
    <row r="27" spans="1:4" s="15" customFormat="1" ht="61.5" customHeight="1">
      <c r="A27" s="11" t="s">
        <v>21</v>
      </c>
      <c r="B27" s="12" t="s">
        <v>1</v>
      </c>
      <c r="C27" s="12"/>
      <c r="D27" s="13">
        <f>D28</f>
        <v>100000</v>
      </c>
    </row>
    <row r="28" spans="1:4" s="19" customFormat="1" ht="56.25">
      <c r="A28" s="16" t="s">
        <v>20</v>
      </c>
      <c r="B28" s="17" t="s">
        <v>19</v>
      </c>
      <c r="C28" s="17"/>
      <c r="D28" s="18">
        <f>D29</f>
        <v>100000</v>
      </c>
    </row>
    <row r="29" spans="1:4" ht="135" customHeight="1">
      <c r="A29" s="20" t="s">
        <v>107</v>
      </c>
      <c r="B29" s="7" t="s">
        <v>65</v>
      </c>
      <c r="C29" s="7">
        <v>600</v>
      </c>
      <c r="D29" s="21">
        <f>100000</f>
        <v>100000</v>
      </c>
    </row>
    <row r="30" spans="1:4" s="15" customFormat="1" ht="62.25" customHeight="1">
      <c r="A30" s="11" t="s">
        <v>84</v>
      </c>
      <c r="B30" s="12" t="s">
        <v>2</v>
      </c>
      <c r="C30" s="12"/>
      <c r="D30" s="13">
        <f>D31</f>
        <v>30188473.979999997</v>
      </c>
    </row>
    <row r="31" spans="1:4" s="19" customFormat="1" ht="80.25" customHeight="1">
      <c r="A31" s="22" t="s">
        <v>24</v>
      </c>
      <c r="B31" s="17" t="s">
        <v>3</v>
      </c>
      <c r="C31" s="17"/>
      <c r="D31" s="18">
        <f>SUM(D32:D40)</f>
        <v>30188473.979999997</v>
      </c>
    </row>
    <row r="32" spans="1:4" ht="96.75" customHeight="1">
      <c r="A32" s="23" t="s">
        <v>108</v>
      </c>
      <c r="B32" s="7" t="s">
        <v>58</v>
      </c>
      <c r="C32" s="7">
        <v>600</v>
      </c>
      <c r="D32" s="21">
        <f>17969159.38+629176.57+58822.04+919756.28</f>
        <v>19576914.27</v>
      </c>
    </row>
    <row r="33" spans="1:4" ht="58.5" customHeight="1">
      <c r="A33" s="20" t="s">
        <v>31</v>
      </c>
      <c r="B33" s="7" t="s">
        <v>57</v>
      </c>
      <c r="C33" s="7">
        <v>600</v>
      </c>
      <c r="D33" s="21">
        <f>33440+40600</f>
        <v>74040</v>
      </c>
    </row>
    <row r="34" spans="1:4" ht="60" customHeight="1">
      <c r="A34" s="20" t="s">
        <v>32</v>
      </c>
      <c r="B34" s="7" t="s">
        <v>66</v>
      </c>
      <c r="C34" s="7">
        <v>600</v>
      </c>
      <c r="D34" s="21">
        <f>5280</f>
        <v>5280</v>
      </c>
    </row>
    <row r="35" spans="1:4" ht="81" customHeight="1">
      <c r="A35" s="20" t="s">
        <v>33</v>
      </c>
      <c r="B35" s="7" t="s">
        <v>67</v>
      </c>
      <c r="C35" s="7">
        <v>600</v>
      </c>
      <c r="D35" s="21">
        <f>200000+618928-55125+14525</f>
        <v>778328</v>
      </c>
    </row>
    <row r="36" spans="1:4" ht="80.25" customHeight="1">
      <c r="A36" s="23" t="s">
        <v>34</v>
      </c>
      <c r="B36" s="7" t="s">
        <v>68</v>
      </c>
      <c r="C36" s="7">
        <v>200</v>
      </c>
      <c r="D36" s="21">
        <f>77000</f>
        <v>77000</v>
      </c>
    </row>
    <row r="37" spans="1:4" ht="99" customHeight="1">
      <c r="A37" s="23" t="s">
        <v>122</v>
      </c>
      <c r="B37" s="7" t="s">
        <v>123</v>
      </c>
      <c r="C37" s="7">
        <v>600</v>
      </c>
      <c r="D37" s="21">
        <f>150000</f>
        <v>150000</v>
      </c>
    </row>
    <row r="38" spans="1:4" ht="136.5" customHeight="1">
      <c r="A38" s="20" t="s">
        <v>211</v>
      </c>
      <c r="B38" s="7" t="s">
        <v>212</v>
      </c>
      <c r="C38" s="7">
        <v>600</v>
      </c>
      <c r="D38" s="24">
        <f>6959284-478339</f>
        <v>6480945</v>
      </c>
    </row>
    <row r="39" spans="1:4" ht="140.25" customHeight="1">
      <c r="A39" s="23" t="s">
        <v>192</v>
      </c>
      <c r="B39" s="7" t="s">
        <v>59</v>
      </c>
      <c r="C39" s="7">
        <v>600</v>
      </c>
      <c r="D39" s="21">
        <f>1121650.92</f>
        <v>1121650.92</v>
      </c>
    </row>
    <row r="40" spans="1:5" ht="97.5" customHeight="1">
      <c r="A40" s="23" t="s">
        <v>213</v>
      </c>
      <c r="B40" s="7" t="s">
        <v>214</v>
      </c>
      <c r="C40" s="7">
        <v>600</v>
      </c>
      <c r="D40" s="24">
        <f>1328100+69900+526315.79</f>
        <v>1924315.79</v>
      </c>
      <c r="E40" s="25"/>
    </row>
    <row r="41" spans="1:4" s="15" customFormat="1" ht="79.5" customHeight="1">
      <c r="A41" s="11" t="s">
        <v>86</v>
      </c>
      <c r="B41" s="12" t="s">
        <v>4</v>
      </c>
      <c r="C41" s="12"/>
      <c r="D41" s="13">
        <f>D42+D55+D78+D91+D95+D98+D107+D111</f>
        <v>79847490.9</v>
      </c>
    </row>
    <row r="42" spans="1:4" s="15" customFormat="1" ht="59.25" customHeight="1">
      <c r="A42" s="11" t="s">
        <v>36</v>
      </c>
      <c r="B42" s="12" t="s">
        <v>5</v>
      </c>
      <c r="C42" s="12"/>
      <c r="D42" s="13">
        <f>D43+D53</f>
        <v>3976585.9699999993</v>
      </c>
    </row>
    <row r="43" spans="1:4" s="19" customFormat="1" ht="78.75" customHeight="1">
      <c r="A43" s="22" t="s">
        <v>25</v>
      </c>
      <c r="B43" s="17" t="s">
        <v>6</v>
      </c>
      <c r="C43" s="17"/>
      <c r="D43" s="18">
        <f>SUM(D44:D52)</f>
        <v>3950282.7399999993</v>
      </c>
    </row>
    <row r="44" spans="1:4" ht="81" customHeight="1">
      <c r="A44" s="23" t="s">
        <v>37</v>
      </c>
      <c r="B44" s="7" t="s">
        <v>60</v>
      </c>
      <c r="C44" s="7">
        <v>200</v>
      </c>
      <c r="D44" s="21">
        <f>150000+129836.7+158713.75</f>
        <v>438550.45</v>
      </c>
    </row>
    <row r="45" spans="1:4" ht="117" customHeight="1">
      <c r="A45" s="23" t="s">
        <v>79</v>
      </c>
      <c r="B45" s="7" t="s">
        <v>69</v>
      </c>
      <c r="C45" s="7">
        <v>200</v>
      </c>
      <c r="D45" s="21">
        <f>1000000-55567.44-166162.18</f>
        <v>778270.3800000001</v>
      </c>
    </row>
    <row r="46" spans="1:4" ht="78.75" customHeight="1">
      <c r="A46" s="23" t="s">
        <v>96</v>
      </c>
      <c r="B46" s="7" t="s">
        <v>97</v>
      </c>
      <c r="C46" s="7">
        <v>200</v>
      </c>
      <c r="D46" s="21">
        <f>107179.2-11358.3</f>
        <v>95820.9</v>
      </c>
    </row>
    <row r="47" spans="1:4" ht="80.25" customHeight="1">
      <c r="A47" s="23" t="s">
        <v>116</v>
      </c>
      <c r="B47" s="7" t="s">
        <v>117</v>
      </c>
      <c r="C47" s="7">
        <v>200</v>
      </c>
      <c r="D47" s="21">
        <f>353572+243308.48+251933.33-58500+170686+157240+177520.48+250000</f>
        <v>1545760.29</v>
      </c>
    </row>
    <row r="48" spans="1:4" ht="137.25" customHeight="1">
      <c r="A48" s="20" t="s">
        <v>118</v>
      </c>
      <c r="B48" s="7" t="s">
        <v>119</v>
      </c>
      <c r="C48" s="7">
        <v>200</v>
      </c>
      <c r="D48" s="21">
        <f>300000-73510.82-164378.63-17666.11</f>
        <v>44444.43999999999</v>
      </c>
    </row>
    <row r="49" spans="1:4" ht="186" customHeight="1">
      <c r="A49" s="20" t="s">
        <v>307</v>
      </c>
      <c r="B49" s="7" t="s">
        <v>306</v>
      </c>
      <c r="C49" s="7">
        <v>200</v>
      </c>
      <c r="D49" s="21">
        <f>200378.63</f>
        <v>200378.63</v>
      </c>
    </row>
    <row r="50" spans="1:4" ht="346.5" customHeight="1">
      <c r="A50" s="20" t="s">
        <v>207</v>
      </c>
      <c r="B50" s="7" t="s">
        <v>208</v>
      </c>
      <c r="C50" s="7">
        <v>200</v>
      </c>
      <c r="D50" s="21">
        <f>47207.59</f>
        <v>47207.59</v>
      </c>
    </row>
    <row r="51" spans="1:4" ht="167.25" customHeight="1">
      <c r="A51" s="20" t="s">
        <v>274</v>
      </c>
      <c r="B51" s="7" t="s">
        <v>273</v>
      </c>
      <c r="C51" s="7">
        <v>400</v>
      </c>
      <c r="D51" s="21">
        <f>333933.34</f>
        <v>333933.34</v>
      </c>
    </row>
    <row r="52" spans="1:4" ht="270" customHeight="1">
      <c r="A52" s="20" t="s">
        <v>126</v>
      </c>
      <c r="B52" s="7" t="s">
        <v>127</v>
      </c>
      <c r="C52" s="7">
        <v>800</v>
      </c>
      <c r="D52" s="21">
        <f>465916.72</f>
        <v>465916.72</v>
      </c>
    </row>
    <row r="53" spans="1:4" s="19" customFormat="1" ht="42" customHeight="1">
      <c r="A53" s="22" t="s">
        <v>203</v>
      </c>
      <c r="B53" s="17" t="s">
        <v>206</v>
      </c>
      <c r="C53" s="17"/>
      <c r="D53" s="18">
        <f>D54</f>
        <v>26303.23</v>
      </c>
    </row>
    <row r="54" spans="1:4" ht="119.25" customHeight="1">
      <c r="A54" s="20" t="s">
        <v>204</v>
      </c>
      <c r="B54" s="7" t="s">
        <v>205</v>
      </c>
      <c r="C54" s="7">
        <v>200</v>
      </c>
      <c r="D54" s="21">
        <f>26303.23</f>
        <v>26303.23</v>
      </c>
    </row>
    <row r="55" spans="1:4" s="27" customFormat="1" ht="40.5" customHeight="1">
      <c r="A55" s="11" t="s">
        <v>38</v>
      </c>
      <c r="B55" s="12" t="s">
        <v>7</v>
      </c>
      <c r="C55" s="26"/>
      <c r="D55" s="13">
        <f>D56</f>
        <v>21980935.950000003</v>
      </c>
    </row>
    <row r="56" spans="1:4" s="19" customFormat="1" ht="56.25">
      <c r="A56" s="22" t="s">
        <v>35</v>
      </c>
      <c r="B56" s="17" t="s">
        <v>8</v>
      </c>
      <c r="C56" s="17"/>
      <c r="D56" s="18">
        <f>SUM(D57:D77)</f>
        <v>21980935.950000003</v>
      </c>
    </row>
    <row r="57" spans="1:4" ht="117" customHeight="1">
      <c r="A57" s="23" t="s">
        <v>83</v>
      </c>
      <c r="B57" s="7" t="s">
        <v>61</v>
      </c>
      <c r="C57" s="7">
        <v>200</v>
      </c>
      <c r="D57" s="21">
        <f>2425948.79-190000+280833.33</f>
        <v>2516782.12</v>
      </c>
    </row>
    <row r="58" spans="1:4" ht="97.5" customHeight="1">
      <c r="A58" s="23" t="s">
        <v>161</v>
      </c>
      <c r="B58" s="7" t="s">
        <v>160</v>
      </c>
      <c r="C58" s="7">
        <v>200</v>
      </c>
      <c r="D58" s="21">
        <f>1857770.12+141828.76-452296.2</f>
        <v>1547302.6800000002</v>
      </c>
    </row>
    <row r="59" spans="1:4" ht="96.75" customHeight="1">
      <c r="A59" s="23" t="s">
        <v>109</v>
      </c>
      <c r="B59" s="7" t="s">
        <v>70</v>
      </c>
      <c r="C59" s="7">
        <v>200</v>
      </c>
      <c r="D59" s="21">
        <f>1200000+73793.59-831140</f>
        <v>442653.5900000001</v>
      </c>
    </row>
    <row r="60" spans="1:4" ht="62.25" customHeight="1">
      <c r="A60" s="23" t="s">
        <v>110</v>
      </c>
      <c r="B60" s="7" t="s">
        <v>71</v>
      </c>
      <c r="C60" s="7">
        <v>200</v>
      </c>
      <c r="D60" s="21">
        <f>142242.06+155174+297105.24+132000</f>
        <v>726521.3</v>
      </c>
    </row>
    <row r="61" spans="1:4" ht="62.25" customHeight="1">
      <c r="A61" s="23" t="s">
        <v>201</v>
      </c>
      <c r="B61" s="7" t="s">
        <v>202</v>
      </c>
      <c r="C61" s="7">
        <v>200</v>
      </c>
      <c r="D61" s="21">
        <f>267399.46</f>
        <v>267399.46</v>
      </c>
    </row>
    <row r="62" spans="1:4" ht="81" customHeight="1">
      <c r="A62" s="23" t="s">
        <v>120</v>
      </c>
      <c r="B62" s="7" t="s">
        <v>121</v>
      </c>
      <c r="C62" s="7">
        <v>200</v>
      </c>
      <c r="D62" s="21">
        <f>525000-19440-150945.55-59030.8</f>
        <v>295583.65</v>
      </c>
    </row>
    <row r="63" spans="1:4" ht="134.25" customHeight="1">
      <c r="A63" s="20" t="s">
        <v>165</v>
      </c>
      <c r="B63" s="7" t="s">
        <v>164</v>
      </c>
      <c r="C63" s="7">
        <v>200</v>
      </c>
      <c r="D63" s="21">
        <f>239800-175000</f>
        <v>64800</v>
      </c>
    </row>
    <row r="64" spans="1:4" ht="79.5" customHeight="1">
      <c r="A64" s="20" t="s">
        <v>136</v>
      </c>
      <c r="B64" s="28" t="s">
        <v>166</v>
      </c>
      <c r="C64" s="7">
        <v>200</v>
      </c>
      <c r="D64" s="21">
        <f>430803+272419.25-84006.45</f>
        <v>619215.8</v>
      </c>
    </row>
    <row r="65" spans="1:4" ht="158.25" customHeight="1">
      <c r="A65" s="20" t="s">
        <v>234</v>
      </c>
      <c r="B65" s="28" t="s">
        <v>233</v>
      </c>
      <c r="C65" s="7">
        <v>200</v>
      </c>
      <c r="D65" s="21">
        <f>19440</f>
        <v>19440</v>
      </c>
    </row>
    <row r="66" spans="1:4" ht="65.25" customHeight="1">
      <c r="A66" s="20" t="s">
        <v>131</v>
      </c>
      <c r="B66" s="7" t="s">
        <v>139</v>
      </c>
      <c r="C66" s="7">
        <v>200</v>
      </c>
      <c r="D66" s="21">
        <f>200000+309855+59030.8</f>
        <v>568885.8</v>
      </c>
    </row>
    <row r="67" spans="1:4" ht="97.5" customHeight="1">
      <c r="A67" s="20" t="s">
        <v>177</v>
      </c>
      <c r="B67" s="7" t="s">
        <v>176</v>
      </c>
      <c r="C67" s="7">
        <v>200</v>
      </c>
      <c r="D67" s="21">
        <f>3511660+75000</f>
        <v>3586660</v>
      </c>
    </row>
    <row r="68" spans="1:4" ht="97.5" customHeight="1">
      <c r="A68" s="20" t="s">
        <v>180</v>
      </c>
      <c r="B68" s="7" t="s">
        <v>181</v>
      </c>
      <c r="C68" s="7">
        <v>200</v>
      </c>
      <c r="D68" s="21">
        <f>2200000</f>
        <v>2200000</v>
      </c>
    </row>
    <row r="69" spans="1:4" ht="153.75" customHeight="1">
      <c r="A69" s="20" t="s">
        <v>191</v>
      </c>
      <c r="B69" s="7" t="s">
        <v>182</v>
      </c>
      <c r="C69" s="7">
        <v>200</v>
      </c>
      <c r="D69" s="21">
        <f>650000+139280</f>
        <v>789280</v>
      </c>
    </row>
    <row r="70" spans="1:4" ht="97.5" customHeight="1">
      <c r="A70" s="20" t="s">
        <v>183</v>
      </c>
      <c r="B70" s="7" t="s">
        <v>184</v>
      </c>
      <c r="C70" s="7">
        <v>200</v>
      </c>
      <c r="D70" s="21">
        <f>4300000+1480596.03+447015.38</f>
        <v>6227611.41</v>
      </c>
    </row>
    <row r="71" spans="1:4" ht="117" customHeight="1">
      <c r="A71" s="20" t="s">
        <v>188</v>
      </c>
      <c r="B71" s="7" t="s">
        <v>187</v>
      </c>
      <c r="C71" s="7">
        <v>200</v>
      </c>
      <c r="D71" s="21">
        <f>218000</f>
        <v>218000</v>
      </c>
    </row>
    <row r="72" spans="1:4" ht="97.5" customHeight="1">
      <c r="A72" s="20" t="s">
        <v>190</v>
      </c>
      <c r="B72" s="7" t="s">
        <v>189</v>
      </c>
      <c r="C72" s="7">
        <v>200</v>
      </c>
      <c r="D72" s="21">
        <f>86000</f>
        <v>86000</v>
      </c>
    </row>
    <row r="73" spans="1:4" ht="97.5" customHeight="1">
      <c r="A73" s="20" t="s">
        <v>219</v>
      </c>
      <c r="B73" s="7" t="s">
        <v>220</v>
      </c>
      <c r="C73" s="7">
        <v>200</v>
      </c>
      <c r="D73" s="21">
        <f>190000+148093.47</f>
        <v>338093.47</v>
      </c>
    </row>
    <row r="74" spans="1:4" ht="96.75" customHeight="1">
      <c r="A74" s="20" t="s">
        <v>276</v>
      </c>
      <c r="B74" s="7" t="s">
        <v>275</v>
      </c>
      <c r="C74" s="7">
        <v>200</v>
      </c>
      <c r="D74" s="21">
        <f>410566.67</f>
        <v>410566.67</v>
      </c>
    </row>
    <row r="75" spans="1:4" ht="81" customHeight="1">
      <c r="A75" s="20" t="s">
        <v>236</v>
      </c>
      <c r="B75" s="7" t="s">
        <v>235</v>
      </c>
      <c r="C75" s="7">
        <v>400</v>
      </c>
      <c r="D75" s="21">
        <f>831140</f>
        <v>831140</v>
      </c>
    </row>
    <row r="76" spans="1:4" ht="138.75" customHeight="1">
      <c r="A76" s="20" t="s">
        <v>278</v>
      </c>
      <c r="B76" s="7" t="s">
        <v>277</v>
      </c>
      <c r="C76" s="7">
        <v>400</v>
      </c>
      <c r="D76" s="21">
        <f>175000</f>
        <v>175000</v>
      </c>
    </row>
    <row r="77" spans="1:4" ht="147" customHeight="1">
      <c r="A77" s="20" t="s">
        <v>295</v>
      </c>
      <c r="B77" s="7" t="s">
        <v>294</v>
      </c>
      <c r="C77" s="7">
        <v>400</v>
      </c>
      <c r="D77" s="21">
        <f>50000</f>
        <v>50000</v>
      </c>
    </row>
    <row r="78" spans="1:4" s="15" customFormat="1" ht="58.5" customHeight="1">
      <c r="A78" s="11" t="s">
        <v>80</v>
      </c>
      <c r="B78" s="12" t="s">
        <v>9</v>
      </c>
      <c r="C78" s="12"/>
      <c r="D78" s="13">
        <f>D79+D89</f>
        <v>45108728.230000004</v>
      </c>
    </row>
    <row r="79" spans="1:4" s="27" customFormat="1" ht="56.25">
      <c r="A79" s="22" t="s">
        <v>26</v>
      </c>
      <c r="B79" s="17" t="s">
        <v>10</v>
      </c>
      <c r="C79" s="17"/>
      <c r="D79" s="18">
        <f>SUM(D80:D88)</f>
        <v>41214505.95</v>
      </c>
    </row>
    <row r="80" spans="1:4" s="27" customFormat="1" ht="135.75" customHeight="1">
      <c r="A80" s="20" t="s">
        <v>150</v>
      </c>
      <c r="B80" s="7" t="s">
        <v>151</v>
      </c>
      <c r="C80" s="7">
        <v>200</v>
      </c>
      <c r="D80" s="21">
        <f>4986812.57+3883687.92-830805.44-69900-5000000-2167899.1-75000+4999677.01+83500+324394.36</f>
        <v>6134467.320000001</v>
      </c>
    </row>
    <row r="81" spans="1:4" s="27" customFormat="1" ht="134.25" customHeight="1">
      <c r="A81" s="20" t="s">
        <v>163</v>
      </c>
      <c r="B81" s="7" t="s">
        <v>162</v>
      </c>
      <c r="C81" s="7">
        <v>200</v>
      </c>
      <c r="D81" s="21">
        <f>628000+309166.58</f>
        <v>937166.5800000001</v>
      </c>
    </row>
    <row r="82" spans="1:4" s="27" customFormat="1" ht="99" customHeight="1">
      <c r="A82" s="20" t="s">
        <v>152</v>
      </c>
      <c r="B82" s="7" t="s">
        <v>153</v>
      </c>
      <c r="C82" s="7">
        <v>200</v>
      </c>
      <c r="D82" s="21">
        <f>80000+166900</f>
        <v>246900</v>
      </c>
    </row>
    <row r="83" spans="1:4" ht="289.5" customHeight="1">
      <c r="A83" s="20" t="s">
        <v>140</v>
      </c>
      <c r="B83" s="7" t="s">
        <v>141</v>
      </c>
      <c r="C83" s="7">
        <v>200</v>
      </c>
      <c r="D83" s="21">
        <f>8807573.09+1987500</f>
        <v>10795073.09</v>
      </c>
    </row>
    <row r="84" spans="1:4" ht="120.75" customHeight="1">
      <c r="A84" s="20" t="s">
        <v>240</v>
      </c>
      <c r="B84" s="7" t="s">
        <v>237</v>
      </c>
      <c r="C84" s="7">
        <v>400</v>
      </c>
      <c r="D84" s="21">
        <f>4038984.96-403898.6</f>
        <v>3635086.36</v>
      </c>
    </row>
    <row r="85" spans="1:4" ht="99" customHeight="1">
      <c r="A85" s="20" t="s">
        <v>248</v>
      </c>
      <c r="B85" s="7" t="s">
        <v>247</v>
      </c>
      <c r="C85" s="7">
        <v>200</v>
      </c>
      <c r="D85" s="21">
        <f>68666</f>
        <v>68666</v>
      </c>
    </row>
    <row r="86" spans="1:4" ht="99" customHeight="1">
      <c r="A86" s="20" t="s">
        <v>309</v>
      </c>
      <c r="B86" s="7" t="s">
        <v>308</v>
      </c>
      <c r="C86" s="7">
        <v>200</v>
      </c>
      <c r="D86" s="21">
        <f>38136.2</f>
        <v>38136.2</v>
      </c>
    </row>
    <row r="87" spans="1:4" ht="124.5" customHeight="1">
      <c r="A87" s="20" t="s">
        <v>239</v>
      </c>
      <c r="B87" s="7" t="s">
        <v>238</v>
      </c>
      <c r="C87" s="7">
        <v>400</v>
      </c>
      <c r="D87" s="21">
        <f>3019840+47133</f>
        <v>3066973</v>
      </c>
    </row>
    <row r="88" spans="1:5" ht="158.25" customHeight="1">
      <c r="A88" s="20" t="s">
        <v>209</v>
      </c>
      <c r="B88" s="7" t="s">
        <v>210</v>
      </c>
      <c r="C88" s="7">
        <v>200</v>
      </c>
      <c r="D88" s="24">
        <f>15785303.33+830805.44+5000000-4999677.01-324394.36</f>
        <v>16292037.4</v>
      </c>
      <c r="E88" s="25"/>
    </row>
    <row r="89" spans="1:4" s="19" customFormat="1" ht="42.75" customHeight="1">
      <c r="A89" s="22" t="s">
        <v>193</v>
      </c>
      <c r="B89" s="17" t="s">
        <v>106</v>
      </c>
      <c r="C89" s="17"/>
      <c r="D89" s="18">
        <f>SUM(D90)</f>
        <v>3894222.2800000003</v>
      </c>
    </row>
    <row r="90" spans="1:4" ht="116.25" customHeight="1">
      <c r="A90" s="23" t="s">
        <v>194</v>
      </c>
      <c r="B90" s="7" t="s">
        <v>195</v>
      </c>
      <c r="C90" s="7">
        <v>200</v>
      </c>
      <c r="D90" s="21">
        <f>3514208.08+380014.2</f>
        <v>3894222.2800000003</v>
      </c>
    </row>
    <row r="91" spans="1:4" s="15" customFormat="1" ht="60.75" customHeight="1">
      <c r="A91" s="11" t="s">
        <v>81</v>
      </c>
      <c r="B91" s="12" t="s">
        <v>22</v>
      </c>
      <c r="C91" s="12"/>
      <c r="D91" s="13">
        <f>D92</f>
        <v>1054094</v>
      </c>
    </row>
    <row r="92" spans="1:4" s="19" customFormat="1" ht="39.75" customHeight="1">
      <c r="A92" s="22" t="s">
        <v>28</v>
      </c>
      <c r="B92" s="17" t="s">
        <v>23</v>
      </c>
      <c r="C92" s="17"/>
      <c r="D92" s="18">
        <f>SUM(D93:D94)</f>
        <v>1054094</v>
      </c>
    </row>
    <row r="93" spans="1:4" ht="78" customHeight="1">
      <c r="A93" s="23" t="s">
        <v>39</v>
      </c>
      <c r="B93" s="7" t="s">
        <v>72</v>
      </c>
      <c r="C93" s="7">
        <v>200</v>
      </c>
      <c r="D93" s="21">
        <f>389044</f>
        <v>389044</v>
      </c>
    </row>
    <row r="94" spans="1:4" ht="77.25" customHeight="1">
      <c r="A94" s="23" t="s">
        <v>138</v>
      </c>
      <c r="B94" s="7" t="s">
        <v>137</v>
      </c>
      <c r="C94" s="7">
        <v>200</v>
      </c>
      <c r="D94" s="21">
        <f>800000-134950</f>
        <v>665050</v>
      </c>
    </row>
    <row r="95" spans="1:4" s="15" customFormat="1" ht="117.75" customHeight="1">
      <c r="A95" s="11" t="s">
        <v>112</v>
      </c>
      <c r="B95" s="12" t="s">
        <v>40</v>
      </c>
      <c r="C95" s="12"/>
      <c r="D95" s="13">
        <f>D96</f>
        <v>2400000</v>
      </c>
    </row>
    <row r="96" spans="1:4" s="19" customFormat="1" ht="60.75" customHeight="1">
      <c r="A96" s="22" t="s">
        <v>42</v>
      </c>
      <c r="B96" s="17" t="s">
        <v>41</v>
      </c>
      <c r="C96" s="17"/>
      <c r="D96" s="18">
        <f>D97</f>
        <v>2400000</v>
      </c>
    </row>
    <row r="97" spans="1:4" ht="116.25" customHeight="1">
      <c r="A97" s="20" t="s">
        <v>111</v>
      </c>
      <c r="B97" s="7" t="s">
        <v>64</v>
      </c>
      <c r="C97" s="7">
        <v>800</v>
      </c>
      <c r="D97" s="21">
        <f>2400000</f>
        <v>2400000</v>
      </c>
    </row>
    <row r="98" spans="1:4" s="27" customFormat="1" ht="60" customHeight="1">
      <c r="A98" s="11" t="s">
        <v>45</v>
      </c>
      <c r="B98" s="12" t="s">
        <v>46</v>
      </c>
      <c r="C98" s="12"/>
      <c r="D98" s="13">
        <f>D99+D103+D105</f>
        <v>384000</v>
      </c>
    </row>
    <row r="99" spans="1:4" s="27" customFormat="1" ht="42" customHeight="1">
      <c r="A99" s="22" t="s">
        <v>47</v>
      </c>
      <c r="B99" s="17" t="s">
        <v>43</v>
      </c>
      <c r="C99" s="17"/>
      <c r="D99" s="18">
        <f>SUM(D100:D102)</f>
        <v>194000</v>
      </c>
    </row>
    <row r="100" spans="1:4" ht="98.25" customHeight="1">
      <c r="A100" s="23" t="s">
        <v>48</v>
      </c>
      <c r="B100" s="7" t="s">
        <v>73</v>
      </c>
      <c r="C100" s="7">
        <v>200</v>
      </c>
      <c r="D100" s="21">
        <f>9000</f>
        <v>9000</v>
      </c>
    </row>
    <row r="101" spans="1:4" ht="80.25" customHeight="1">
      <c r="A101" s="23" t="s">
        <v>178</v>
      </c>
      <c r="B101" s="7" t="s">
        <v>174</v>
      </c>
      <c r="C101" s="7">
        <v>200</v>
      </c>
      <c r="D101" s="21">
        <f>25000</f>
        <v>25000</v>
      </c>
    </row>
    <row r="102" spans="1:4" ht="138" customHeight="1">
      <c r="A102" s="23" t="s">
        <v>179</v>
      </c>
      <c r="B102" s="7" t="s">
        <v>175</v>
      </c>
      <c r="C102" s="7">
        <v>200</v>
      </c>
      <c r="D102" s="21">
        <f>90000+70000</f>
        <v>160000</v>
      </c>
    </row>
    <row r="103" spans="1:4" s="19" customFormat="1" ht="43.5" customHeight="1">
      <c r="A103" s="22" t="s">
        <v>27</v>
      </c>
      <c r="B103" s="17" t="s">
        <v>53</v>
      </c>
      <c r="C103" s="17"/>
      <c r="D103" s="18">
        <f>D104</f>
        <v>110000</v>
      </c>
    </row>
    <row r="104" spans="1:4" ht="96.75" customHeight="1">
      <c r="A104" s="23" t="s">
        <v>44</v>
      </c>
      <c r="B104" s="7" t="s">
        <v>74</v>
      </c>
      <c r="C104" s="7">
        <v>200</v>
      </c>
      <c r="D104" s="21">
        <f>60000+50000</f>
        <v>110000</v>
      </c>
    </row>
    <row r="105" spans="1:4" s="19" customFormat="1" ht="79.5" customHeight="1">
      <c r="A105" s="22" t="s">
        <v>130</v>
      </c>
      <c r="B105" s="17" t="s">
        <v>98</v>
      </c>
      <c r="C105" s="17"/>
      <c r="D105" s="18">
        <f>SUM(D106:D106)</f>
        <v>80000</v>
      </c>
    </row>
    <row r="106" spans="1:4" ht="78" customHeight="1">
      <c r="A106" s="23" t="s">
        <v>135</v>
      </c>
      <c r="B106" s="7" t="s">
        <v>134</v>
      </c>
      <c r="C106" s="7">
        <v>200</v>
      </c>
      <c r="D106" s="21">
        <f>100000-20000</f>
        <v>80000</v>
      </c>
    </row>
    <row r="107" spans="1:4" s="27" customFormat="1" ht="117.75" customHeight="1">
      <c r="A107" s="11" t="s">
        <v>89</v>
      </c>
      <c r="B107" s="12" t="s">
        <v>90</v>
      </c>
      <c r="C107" s="12"/>
      <c r="D107" s="13">
        <f>D108</f>
        <v>4603146.75</v>
      </c>
    </row>
    <row r="108" spans="1:4" s="19" customFormat="1" ht="77.25" customHeight="1">
      <c r="A108" s="22" t="s">
        <v>91</v>
      </c>
      <c r="B108" s="17" t="s">
        <v>92</v>
      </c>
      <c r="C108" s="17"/>
      <c r="D108" s="18">
        <f>SUM(D109:D110)</f>
        <v>4603146.75</v>
      </c>
    </row>
    <row r="109" spans="1:4" ht="138.75" customHeight="1">
      <c r="A109" s="20" t="s">
        <v>93</v>
      </c>
      <c r="B109" s="7" t="s">
        <v>94</v>
      </c>
      <c r="C109" s="7">
        <v>100</v>
      </c>
      <c r="D109" s="21">
        <f>4011304.2+271090.08+97424.47</f>
        <v>4379818.75</v>
      </c>
    </row>
    <row r="110" spans="1:4" ht="100.5" customHeight="1">
      <c r="A110" s="23" t="s">
        <v>95</v>
      </c>
      <c r="B110" s="7" t="s">
        <v>94</v>
      </c>
      <c r="C110" s="7">
        <v>200</v>
      </c>
      <c r="D110" s="21">
        <f>125278+64600+33450</f>
        <v>223328</v>
      </c>
    </row>
    <row r="111" spans="1:4" s="15" customFormat="1" ht="59.25" customHeight="1">
      <c r="A111" s="11" t="s">
        <v>144</v>
      </c>
      <c r="B111" s="12" t="s">
        <v>145</v>
      </c>
      <c r="C111" s="12"/>
      <c r="D111" s="13">
        <f>D112</f>
        <v>340000</v>
      </c>
    </row>
    <row r="112" spans="1:4" s="19" customFormat="1" ht="59.25" customHeight="1">
      <c r="A112" s="22" t="s">
        <v>146</v>
      </c>
      <c r="B112" s="17" t="s">
        <v>147</v>
      </c>
      <c r="C112" s="17"/>
      <c r="D112" s="18">
        <f>D113</f>
        <v>340000</v>
      </c>
    </row>
    <row r="113" spans="1:4" ht="117.75" customHeight="1">
      <c r="A113" s="23" t="s">
        <v>157</v>
      </c>
      <c r="B113" s="7" t="s">
        <v>154</v>
      </c>
      <c r="C113" s="7">
        <v>800</v>
      </c>
      <c r="D113" s="21">
        <f>340000</f>
        <v>340000</v>
      </c>
    </row>
    <row r="114" spans="1:4" s="15" customFormat="1" ht="41.25" customHeight="1">
      <c r="A114" s="11" t="s">
        <v>87</v>
      </c>
      <c r="B114" s="12" t="s">
        <v>11</v>
      </c>
      <c r="C114" s="12"/>
      <c r="D114" s="13">
        <f>D115+D119</f>
        <v>1146000</v>
      </c>
    </row>
    <row r="115" spans="1:4" s="15" customFormat="1" ht="95.25" customHeight="1">
      <c r="A115" s="11" t="s">
        <v>88</v>
      </c>
      <c r="B115" s="12" t="s">
        <v>12</v>
      </c>
      <c r="C115" s="12"/>
      <c r="D115" s="13">
        <f>D116</f>
        <v>201500</v>
      </c>
    </row>
    <row r="116" spans="1:4" s="27" customFormat="1" ht="56.25">
      <c r="A116" s="22" t="s">
        <v>54</v>
      </c>
      <c r="B116" s="17" t="s">
        <v>13</v>
      </c>
      <c r="C116" s="17"/>
      <c r="D116" s="18">
        <f>SUM(D117:D118)</f>
        <v>201500</v>
      </c>
    </row>
    <row r="117" spans="1:4" s="27" customFormat="1" ht="99" customHeight="1">
      <c r="A117" s="23" t="s">
        <v>49</v>
      </c>
      <c r="B117" s="7" t="s">
        <v>75</v>
      </c>
      <c r="C117" s="7">
        <v>200</v>
      </c>
      <c r="D117" s="21">
        <f>1500</f>
        <v>1500</v>
      </c>
    </row>
    <row r="118" spans="1:4" s="15" customFormat="1" ht="117.75" customHeight="1">
      <c r="A118" s="23" t="s">
        <v>129</v>
      </c>
      <c r="B118" s="7" t="s">
        <v>128</v>
      </c>
      <c r="C118" s="7">
        <v>200</v>
      </c>
      <c r="D118" s="21">
        <f>200000</f>
        <v>200000</v>
      </c>
    </row>
    <row r="119" spans="1:4" s="15" customFormat="1" ht="82.5" customHeight="1">
      <c r="A119" s="11" t="s">
        <v>50</v>
      </c>
      <c r="B119" s="12" t="s">
        <v>14</v>
      </c>
      <c r="C119" s="12"/>
      <c r="D119" s="13">
        <f>D120</f>
        <v>944500</v>
      </c>
    </row>
    <row r="120" spans="1:4" s="27" customFormat="1" ht="59.25" customHeight="1">
      <c r="A120" s="22" t="s">
        <v>55</v>
      </c>
      <c r="B120" s="17" t="s">
        <v>15</v>
      </c>
      <c r="C120" s="17"/>
      <c r="D120" s="18">
        <f>SUM(D121:D123)</f>
        <v>944500</v>
      </c>
    </row>
    <row r="121" spans="1:4" ht="99.75" customHeight="1">
      <c r="A121" s="23" t="s">
        <v>51</v>
      </c>
      <c r="B121" s="7" t="s">
        <v>76</v>
      </c>
      <c r="C121" s="7">
        <v>200</v>
      </c>
      <c r="D121" s="21">
        <f>261500+300000</f>
        <v>561500</v>
      </c>
    </row>
    <row r="122" spans="1:4" ht="135.75" customHeight="1">
      <c r="A122" s="23" t="s">
        <v>56</v>
      </c>
      <c r="B122" s="7" t="s">
        <v>77</v>
      </c>
      <c r="C122" s="7">
        <v>200</v>
      </c>
      <c r="D122" s="21">
        <f>12000+6000+65000</f>
        <v>83000</v>
      </c>
    </row>
    <row r="123" spans="1:4" ht="61.5" customHeight="1">
      <c r="A123" s="23" t="s">
        <v>52</v>
      </c>
      <c r="B123" s="7" t="s">
        <v>78</v>
      </c>
      <c r="C123" s="7">
        <v>800</v>
      </c>
      <c r="D123" s="21">
        <f>300000</f>
        <v>300000</v>
      </c>
    </row>
    <row r="124" spans="1:4" s="15" customFormat="1" ht="81" customHeight="1">
      <c r="A124" s="11" t="s">
        <v>142</v>
      </c>
      <c r="B124" s="12" t="s">
        <v>143</v>
      </c>
      <c r="C124" s="12"/>
      <c r="D124" s="13">
        <f>D125</f>
        <v>7732634.57</v>
      </c>
    </row>
    <row r="125" spans="1:4" s="15" customFormat="1" ht="41.25" customHeight="1">
      <c r="A125" s="11" t="s">
        <v>148</v>
      </c>
      <c r="B125" s="12" t="s">
        <v>149</v>
      </c>
      <c r="C125" s="12"/>
      <c r="D125" s="13">
        <f>D126+D135</f>
        <v>7732634.57</v>
      </c>
    </row>
    <row r="126" spans="1:4" s="15" customFormat="1" ht="41.25" customHeight="1">
      <c r="A126" s="22" t="s">
        <v>155</v>
      </c>
      <c r="B126" s="17" t="s">
        <v>156</v>
      </c>
      <c r="C126" s="26"/>
      <c r="D126" s="18">
        <f>SUM(D127:D134)</f>
        <v>421369.29</v>
      </c>
    </row>
    <row r="127" spans="1:4" s="15" customFormat="1" ht="155.25" customHeight="1">
      <c r="A127" s="23" t="s">
        <v>159</v>
      </c>
      <c r="B127" s="7" t="s">
        <v>158</v>
      </c>
      <c r="C127" s="7">
        <v>200</v>
      </c>
      <c r="D127" s="21">
        <f>218840-1063.26</f>
        <v>217776.74</v>
      </c>
    </row>
    <row r="128" spans="1:4" s="15" customFormat="1" ht="141" customHeight="1">
      <c r="A128" s="23" t="s">
        <v>311</v>
      </c>
      <c r="B128" s="7" t="s">
        <v>310</v>
      </c>
      <c r="C128" s="7">
        <v>200</v>
      </c>
      <c r="D128" s="21">
        <f>59380</f>
        <v>59380</v>
      </c>
    </row>
    <row r="129" spans="1:4" s="15" customFormat="1" ht="121.5" customHeight="1">
      <c r="A129" s="23" t="s">
        <v>254</v>
      </c>
      <c r="B129" s="7" t="s">
        <v>249</v>
      </c>
      <c r="C129" s="7">
        <v>200</v>
      </c>
      <c r="D129" s="21">
        <f>21000</f>
        <v>21000</v>
      </c>
    </row>
    <row r="130" spans="1:4" s="15" customFormat="1" ht="119.25" customHeight="1">
      <c r="A130" s="23" t="s">
        <v>255</v>
      </c>
      <c r="B130" s="7" t="s">
        <v>250</v>
      </c>
      <c r="C130" s="7">
        <v>200</v>
      </c>
      <c r="D130" s="21">
        <f>21000</f>
        <v>21000</v>
      </c>
    </row>
    <row r="131" spans="1:4" s="15" customFormat="1" ht="97.5" customHeight="1">
      <c r="A131" s="23" t="s">
        <v>256</v>
      </c>
      <c r="B131" s="7" t="s">
        <v>251</v>
      </c>
      <c r="C131" s="7">
        <v>200</v>
      </c>
      <c r="D131" s="21">
        <f>21000</f>
        <v>21000</v>
      </c>
    </row>
    <row r="132" spans="1:4" s="15" customFormat="1" ht="115.5" customHeight="1">
      <c r="A132" s="23" t="s">
        <v>257</v>
      </c>
      <c r="B132" s="7" t="s">
        <v>252</v>
      </c>
      <c r="C132" s="7">
        <v>200</v>
      </c>
      <c r="D132" s="21">
        <f>21000</f>
        <v>21000</v>
      </c>
    </row>
    <row r="133" spans="1:4" s="15" customFormat="1" ht="116.25" customHeight="1">
      <c r="A133" s="23" t="s">
        <v>258</v>
      </c>
      <c r="B133" s="7" t="s">
        <v>253</v>
      </c>
      <c r="C133" s="7">
        <v>200</v>
      </c>
      <c r="D133" s="21">
        <f>21000</f>
        <v>21000</v>
      </c>
    </row>
    <row r="134" spans="1:4" s="15" customFormat="1" ht="159" customHeight="1">
      <c r="A134" s="23" t="s">
        <v>280</v>
      </c>
      <c r="B134" s="7" t="s">
        <v>279</v>
      </c>
      <c r="C134" s="7">
        <v>200</v>
      </c>
      <c r="D134" s="21">
        <f>39212.55</f>
        <v>39212.55</v>
      </c>
    </row>
    <row r="135" spans="1:4" s="27" customFormat="1" ht="39.75" customHeight="1">
      <c r="A135" s="22" t="s">
        <v>215</v>
      </c>
      <c r="B135" s="17" t="s">
        <v>216</v>
      </c>
      <c r="C135" s="17"/>
      <c r="D135" s="18">
        <f>SUM(D136:D141)</f>
        <v>7311265.28</v>
      </c>
    </row>
    <row r="136" spans="1:4" s="15" customFormat="1" ht="79.5" customHeight="1">
      <c r="A136" s="23" t="s">
        <v>217</v>
      </c>
      <c r="B136" s="7" t="s">
        <v>218</v>
      </c>
      <c r="C136" s="7">
        <v>200</v>
      </c>
      <c r="D136" s="21">
        <f>2020202.02+1063.26</f>
        <v>2021265.28</v>
      </c>
    </row>
    <row r="137" spans="1:4" s="15" customFormat="1" ht="160.5" customHeight="1">
      <c r="A137" s="23" t="s">
        <v>264</v>
      </c>
      <c r="B137" s="7" t="s">
        <v>259</v>
      </c>
      <c r="C137" s="7">
        <v>200</v>
      </c>
      <c r="D137" s="21">
        <f>1058000</f>
        <v>1058000</v>
      </c>
    </row>
    <row r="138" spans="1:4" s="15" customFormat="1" ht="156.75" customHeight="1">
      <c r="A138" s="23" t="s">
        <v>265</v>
      </c>
      <c r="B138" s="7" t="s">
        <v>260</v>
      </c>
      <c r="C138" s="7">
        <v>200</v>
      </c>
      <c r="D138" s="21">
        <f>1058000</f>
        <v>1058000</v>
      </c>
    </row>
    <row r="139" spans="1:4" s="15" customFormat="1" ht="137.25" customHeight="1">
      <c r="A139" s="23" t="s">
        <v>266</v>
      </c>
      <c r="B139" s="7" t="s">
        <v>261</v>
      </c>
      <c r="C139" s="7">
        <v>200</v>
      </c>
      <c r="D139" s="21">
        <f>1058000</f>
        <v>1058000</v>
      </c>
    </row>
    <row r="140" spans="1:4" s="15" customFormat="1" ht="145.5" customHeight="1">
      <c r="A140" s="23" t="s">
        <v>267</v>
      </c>
      <c r="B140" s="7" t="s">
        <v>262</v>
      </c>
      <c r="C140" s="7">
        <v>200</v>
      </c>
      <c r="D140" s="21">
        <f>1058000</f>
        <v>1058000</v>
      </c>
    </row>
    <row r="141" spans="1:4" s="15" customFormat="1" ht="161.25" customHeight="1">
      <c r="A141" s="23" t="s">
        <v>268</v>
      </c>
      <c r="B141" s="7" t="s">
        <v>263</v>
      </c>
      <c r="C141" s="7">
        <v>200</v>
      </c>
      <c r="D141" s="21">
        <f>1058000</f>
        <v>1058000</v>
      </c>
    </row>
    <row r="142" spans="1:4" s="14" customFormat="1" ht="39.75" customHeight="1">
      <c r="A142" s="29" t="s">
        <v>104</v>
      </c>
      <c r="B142" s="12" t="s">
        <v>105</v>
      </c>
      <c r="C142" s="12"/>
      <c r="D142" s="13">
        <f>D143</f>
        <v>3267585.81</v>
      </c>
    </row>
    <row r="143" spans="1:4" s="15" customFormat="1" ht="58.5" customHeight="1">
      <c r="A143" s="11" t="s">
        <v>29</v>
      </c>
      <c r="B143" s="12" t="s">
        <v>16</v>
      </c>
      <c r="C143" s="12"/>
      <c r="D143" s="13">
        <f>SUM(D144:D148)</f>
        <v>3267585.81</v>
      </c>
    </row>
    <row r="144" spans="1:4" ht="138.75" customHeight="1">
      <c r="A144" s="23" t="s">
        <v>283</v>
      </c>
      <c r="B144" s="7" t="s">
        <v>17</v>
      </c>
      <c r="C144" s="7">
        <v>100</v>
      </c>
      <c r="D144" s="21">
        <f>1021096.46+23229.95+63425.77</f>
        <v>1107752.18</v>
      </c>
    </row>
    <row r="145" spans="1:4" ht="137.25" customHeight="1">
      <c r="A145" s="23" t="s">
        <v>222</v>
      </c>
      <c r="B145" s="7" t="s">
        <v>62</v>
      </c>
      <c r="C145" s="7">
        <v>100</v>
      </c>
      <c r="D145" s="21">
        <f>1544660.77+7522.98+32425.6+33139.49</f>
        <v>1617748.84</v>
      </c>
    </row>
    <row r="146" spans="1:4" ht="100.5" customHeight="1">
      <c r="A146" s="23" t="s">
        <v>223</v>
      </c>
      <c r="B146" s="7" t="s">
        <v>62</v>
      </c>
      <c r="C146" s="7">
        <v>200</v>
      </c>
      <c r="D146" s="21">
        <f>239674.96+24249.79</f>
        <v>263924.75</v>
      </c>
    </row>
    <row r="147" spans="1:4" ht="82.5" customHeight="1">
      <c r="A147" s="23" t="s">
        <v>197</v>
      </c>
      <c r="B147" s="7" t="s">
        <v>196</v>
      </c>
      <c r="C147" s="7">
        <v>200</v>
      </c>
      <c r="D147" s="21">
        <f>241191.04</f>
        <v>241191.04</v>
      </c>
    </row>
    <row r="148" spans="1:4" ht="59.25" customHeight="1">
      <c r="A148" s="23" t="s">
        <v>124</v>
      </c>
      <c r="B148" s="7" t="s">
        <v>125</v>
      </c>
      <c r="C148" s="7">
        <v>800</v>
      </c>
      <c r="D148" s="21">
        <f>31840+5129</f>
        <v>36969</v>
      </c>
    </row>
    <row r="149" spans="1:4" s="14" customFormat="1" ht="58.5" customHeight="1">
      <c r="A149" s="11" t="s">
        <v>102</v>
      </c>
      <c r="B149" s="12" t="s">
        <v>103</v>
      </c>
      <c r="C149" s="12"/>
      <c r="D149" s="13">
        <f>D150</f>
        <v>1372061.01</v>
      </c>
    </row>
    <row r="150" spans="1:4" s="27" customFormat="1" ht="80.25" customHeight="1">
      <c r="A150" s="11" t="s">
        <v>30</v>
      </c>
      <c r="B150" s="12" t="s">
        <v>18</v>
      </c>
      <c r="C150" s="26"/>
      <c r="D150" s="13">
        <f>SUM(D151:D178)</f>
        <v>1372061.01</v>
      </c>
    </row>
    <row r="151" spans="1:4" s="27" customFormat="1" ht="138.75" customHeight="1">
      <c r="A151" s="20" t="s">
        <v>185</v>
      </c>
      <c r="B151" s="7" t="s">
        <v>186</v>
      </c>
      <c r="C151" s="7">
        <v>500</v>
      </c>
      <c r="D151" s="21">
        <f>3600</f>
        <v>3600</v>
      </c>
    </row>
    <row r="152" spans="1:4" s="19" customFormat="1" ht="41.25" customHeight="1">
      <c r="A152" s="23" t="s">
        <v>113</v>
      </c>
      <c r="B152" s="7" t="s">
        <v>114</v>
      </c>
      <c r="C152" s="7">
        <v>800</v>
      </c>
      <c r="D152" s="21">
        <f>70000</f>
        <v>70000</v>
      </c>
    </row>
    <row r="153" spans="1:4" s="19" customFormat="1" ht="96.75" customHeight="1">
      <c r="A153" s="23" t="s">
        <v>172</v>
      </c>
      <c r="B153" s="7" t="s">
        <v>115</v>
      </c>
      <c r="C153" s="7">
        <v>200</v>
      </c>
      <c r="D153" s="21">
        <f>200000</f>
        <v>200000</v>
      </c>
    </row>
    <row r="154" spans="1:4" s="19" customFormat="1" ht="115.5" customHeight="1">
      <c r="A154" s="23" t="s">
        <v>132</v>
      </c>
      <c r="B154" s="7" t="s">
        <v>133</v>
      </c>
      <c r="C154" s="7">
        <v>200</v>
      </c>
      <c r="D154" s="21">
        <f>65000</f>
        <v>65000</v>
      </c>
    </row>
    <row r="155" spans="1:4" s="19" customFormat="1" ht="78.75" customHeight="1">
      <c r="A155" s="23" t="s">
        <v>198</v>
      </c>
      <c r="B155" s="7" t="s">
        <v>63</v>
      </c>
      <c r="C155" s="7">
        <v>200</v>
      </c>
      <c r="D155" s="21">
        <f>2277+525</f>
        <v>2802</v>
      </c>
    </row>
    <row r="156" spans="1:4" ht="78.75" customHeight="1">
      <c r="A156" s="23" t="s">
        <v>82</v>
      </c>
      <c r="B156" s="7" t="s">
        <v>63</v>
      </c>
      <c r="C156" s="7">
        <v>300</v>
      </c>
      <c r="D156" s="21">
        <f>248536.2+5271.6</f>
        <v>253807.80000000002</v>
      </c>
    </row>
    <row r="157" spans="1:4" ht="39.75" customHeight="1">
      <c r="A157" s="23" t="s">
        <v>244</v>
      </c>
      <c r="B157" s="7" t="s">
        <v>241</v>
      </c>
      <c r="C157" s="7">
        <v>800</v>
      </c>
      <c r="D157" s="21">
        <f>6000</f>
        <v>6000</v>
      </c>
    </row>
    <row r="158" spans="1:4" ht="139.5" customHeight="1">
      <c r="A158" s="23" t="s">
        <v>245</v>
      </c>
      <c r="B158" s="7" t="s">
        <v>242</v>
      </c>
      <c r="C158" s="7">
        <v>800</v>
      </c>
      <c r="D158" s="21">
        <f>50000</f>
        <v>50000</v>
      </c>
    </row>
    <row r="159" spans="1:4" ht="159.75" customHeight="1">
      <c r="A159" s="23" t="s">
        <v>246</v>
      </c>
      <c r="B159" s="7" t="s">
        <v>243</v>
      </c>
      <c r="C159" s="7">
        <v>800</v>
      </c>
      <c r="D159" s="21">
        <f>50000</f>
        <v>50000</v>
      </c>
    </row>
    <row r="160" spans="1:4" ht="139.5" customHeight="1">
      <c r="A160" s="23" t="s">
        <v>271</v>
      </c>
      <c r="B160" s="7" t="s">
        <v>269</v>
      </c>
      <c r="C160" s="7">
        <v>800</v>
      </c>
      <c r="D160" s="21">
        <f>10000</f>
        <v>10000</v>
      </c>
    </row>
    <row r="161" spans="1:4" ht="101.25" customHeight="1">
      <c r="A161" s="23" t="s">
        <v>272</v>
      </c>
      <c r="B161" s="7" t="s">
        <v>270</v>
      </c>
      <c r="C161" s="7">
        <v>800</v>
      </c>
      <c r="D161" s="21">
        <f>50000</f>
        <v>50000</v>
      </c>
    </row>
    <row r="162" spans="1:4" ht="124.5" customHeight="1">
      <c r="A162" s="23" t="s">
        <v>282</v>
      </c>
      <c r="B162" s="7" t="s">
        <v>281</v>
      </c>
      <c r="C162" s="7">
        <v>800</v>
      </c>
      <c r="D162" s="21">
        <f>50000</f>
        <v>50000</v>
      </c>
    </row>
    <row r="163" spans="1:4" ht="124.5" customHeight="1">
      <c r="A163" s="23" t="s">
        <v>286</v>
      </c>
      <c r="B163" s="7" t="s">
        <v>284</v>
      </c>
      <c r="C163" s="7">
        <v>800</v>
      </c>
      <c r="D163" s="21">
        <v>10000</v>
      </c>
    </row>
    <row r="164" spans="1:4" ht="164.25" customHeight="1">
      <c r="A164" s="23" t="s">
        <v>287</v>
      </c>
      <c r="B164" s="7" t="s">
        <v>285</v>
      </c>
      <c r="C164" s="7">
        <v>800</v>
      </c>
      <c r="D164" s="21">
        <v>30000</v>
      </c>
    </row>
    <row r="165" spans="1:4" ht="118.5" customHeight="1">
      <c r="A165" s="30" t="s">
        <v>289</v>
      </c>
      <c r="B165" s="7" t="s">
        <v>288</v>
      </c>
      <c r="C165" s="7">
        <v>800</v>
      </c>
      <c r="D165" s="21">
        <f>50000</f>
        <v>50000</v>
      </c>
    </row>
    <row r="166" spans="1:4" ht="117.75" customHeight="1">
      <c r="A166" s="31" t="s">
        <v>291</v>
      </c>
      <c r="B166" s="7" t="s">
        <v>290</v>
      </c>
      <c r="C166" s="7">
        <v>800</v>
      </c>
      <c r="D166" s="21">
        <f>50000</f>
        <v>50000</v>
      </c>
    </row>
    <row r="167" spans="1:4" ht="136.5" customHeight="1">
      <c r="A167" s="32" t="s">
        <v>293</v>
      </c>
      <c r="B167" s="7" t="s">
        <v>292</v>
      </c>
      <c r="C167" s="7">
        <v>800</v>
      </c>
      <c r="D167" s="21">
        <f>50000</f>
        <v>50000</v>
      </c>
    </row>
    <row r="168" spans="1:4" ht="142.5" customHeight="1">
      <c r="A168" s="40" t="s">
        <v>299</v>
      </c>
      <c r="B168" s="7" t="s">
        <v>296</v>
      </c>
      <c r="C168" s="7">
        <v>800</v>
      </c>
      <c r="D168" s="21">
        <v>30000</v>
      </c>
    </row>
    <row r="169" spans="1:4" ht="104.25" customHeight="1">
      <c r="A169" s="40" t="s">
        <v>300</v>
      </c>
      <c r="B169" s="7" t="s">
        <v>297</v>
      </c>
      <c r="C169" s="7">
        <v>800</v>
      </c>
      <c r="D169" s="21">
        <v>30000</v>
      </c>
    </row>
    <row r="170" spans="1:4" ht="102.75" customHeight="1">
      <c r="A170" s="32" t="s">
        <v>301</v>
      </c>
      <c r="B170" s="7" t="s">
        <v>298</v>
      </c>
      <c r="C170" s="7">
        <v>800</v>
      </c>
      <c r="D170" s="21">
        <v>30000</v>
      </c>
    </row>
    <row r="171" spans="1:4" ht="64.5" customHeight="1">
      <c r="A171" s="40" t="s">
        <v>304</v>
      </c>
      <c r="B171" s="7" t="s">
        <v>302</v>
      </c>
      <c r="C171" s="7">
        <v>800</v>
      </c>
      <c r="D171" s="21">
        <v>50000</v>
      </c>
    </row>
    <row r="172" spans="1:4" ht="62.25" customHeight="1">
      <c r="A172" s="32" t="s">
        <v>305</v>
      </c>
      <c r="B172" s="41" t="s">
        <v>303</v>
      </c>
      <c r="C172" s="41">
        <v>800</v>
      </c>
      <c r="D172" s="42">
        <v>50000</v>
      </c>
    </row>
    <row r="173" spans="1:4" ht="142.5" customHeight="1">
      <c r="A173" s="40" t="s">
        <v>320</v>
      </c>
      <c r="B173" s="7" t="s">
        <v>312</v>
      </c>
      <c r="C173" s="41">
        <v>800</v>
      </c>
      <c r="D173" s="21">
        <f>37500</f>
        <v>37500</v>
      </c>
    </row>
    <row r="174" spans="1:4" ht="117" customHeight="1">
      <c r="A174" s="40" t="s">
        <v>317</v>
      </c>
      <c r="B174" s="7" t="s">
        <v>313</v>
      </c>
      <c r="C174" s="7">
        <v>200</v>
      </c>
      <c r="D174" s="21">
        <f>3751.21</f>
        <v>3751.21</v>
      </c>
    </row>
    <row r="175" spans="1:4" ht="79.5" customHeight="1">
      <c r="A175" s="40" t="s">
        <v>316</v>
      </c>
      <c r="B175" s="7" t="s">
        <v>313</v>
      </c>
      <c r="C175" s="41">
        <v>800</v>
      </c>
      <c r="D175" s="21">
        <f>600</f>
        <v>600</v>
      </c>
    </row>
    <row r="176" spans="1:4" ht="80.25" customHeight="1">
      <c r="A176" s="40" t="s">
        <v>318</v>
      </c>
      <c r="B176" s="7" t="s">
        <v>314</v>
      </c>
      <c r="C176" s="41">
        <v>800</v>
      </c>
      <c r="D176" s="21">
        <f>64000</f>
        <v>64000</v>
      </c>
    </row>
    <row r="177" spans="1:4" ht="81.75" customHeight="1">
      <c r="A177" s="40" t="s">
        <v>319</v>
      </c>
      <c r="B177" s="7" t="s">
        <v>315</v>
      </c>
      <c r="C177" s="41">
        <v>800</v>
      </c>
      <c r="D177" s="21">
        <f>37500</f>
        <v>37500</v>
      </c>
    </row>
    <row r="178" spans="1:4" ht="137.25" customHeight="1">
      <c r="A178" s="40" t="s">
        <v>322</v>
      </c>
      <c r="B178" s="7" t="s">
        <v>321</v>
      </c>
      <c r="C178" s="41">
        <v>800</v>
      </c>
      <c r="D178" s="21">
        <v>37500</v>
      </c>
    </row>
    <row r="179" spans="1:4" s="14" customFormat="1" ht="32.25" customHeight="1">
      <c r="A179" s="45" t="s">
        <v>173</v>
      </c>
      <c r="B179" s="45"/>
      <c r="C179" s="45"/>
      <c r="D179" s="13">
        <f>D26+D41+D114+D142+D149+D124</f>
        <v>123654246.27000001</v>
      </c>
    </row>
    <row r="180" ht="18.75">
      <c r="D180" s="34" t="s">
        <v>232</v>
      </c>
    </row>
    <row r="181" spans="2:4" s="15" customFormat="1" ht="18.75">
      <c r="B181" s="35"/>
      <c r="C181" s="36"/>
      <c r="D181" s="37"/>
    </row>
    <row r="184" spans="1:4" s="15" customFormat="1" ht="18.75">
      <c r="A184" s="38"/>
      <c r="B184" s="35"/>
      <c r="C184" s="36"/>
      <c r="D184" s="37"/>
    </row>
    <row r="185" spans="1:4" s="15" customFormat="1" ht="18.75">
      <c r="A185" s="39"/>
      <c r="B185" s="35"/>
      <c r="C185" s="36"/>
      <c r="D185" s="37"/>
    </row>
    <row r="186" ht="18.75">
      <c r="D186" s="37"/>
    </row>
  </sheetData>
  <sheetProtection/>
  <mergeCells count="19">
    <mergeCell ref="A179:C179"/>
    <mergeCell ref="A12:D12"/>
    <mergeCell ref="A13:D13"/>
    <mergeCell ref="A14:D14"/>
    <mergeCell ref="A15:D15"/>
    <mergeCell ref="A16:D16"/>
    <mergeCell ref="A18:D18"/>
    <mergeCell ref="A19:D19"/>
    <mergeCell ref="A22:D22"/>
    <mergeCell ref="A17:D17"/>
    <mergeCell ref="A7:D7"/>
    <mergeCell ref="A8:D8"/>
    <mergeCell ref="A9:D9"/>
    <mergeCell ref="A1:D1"/>
    <mergeCell ref="A2:D2"/>
    <mergeCell ref="A3:D3"/>
    <mergeCell ref="A4:D4"/>
    <mergeCell ref="A5:D5"/>
    <mergeCell ref="A6:D6"/>
  </mergeCells>
  <printOptions/>
  <pageMargins left="0.9055118110236221" right="0.1968503937007874" top="0.3937007874015748" bottom="0.3937007874015748" header="0" footer="0"/>
  <pageSetup fitToHeight="0"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2023-06-16T07:13:38Z</dcterms:modified>
  <cp:category/>
  <cp:version/>
  <cp:contentType/>
  <cp:contentStatus/>
</cp:coreProperties>
</file>